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osef\OneDrive\Escritorio\AMAGA AIM\4. Contrato de interventoría\Solicitud adición\ADICIÓN INTERVENTORÍA - AMAGA N2 OK\Regalias SOLICITUD DE AJUSTES (2)\Borradores (2)\ANEXOS INTERVENTORIA\"/>
    </mc:Choice>
  </mc:AlternateContent>
  <xr:revisionPtr revIDLastSave="0" documentId="8_{4BDEEFD9-2C5F-48EB-AB62-BB56128A20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icion 2" sheetId="4" r:id="rId1"/>
    <sheet name="adicion (2)" sheetId="2" state="hidden" r:id="rId2"/>
  </sheets>
  <definedNames>
    <definedName name="_xlnm.Print_Area" localSheetId="0">'adicion 2'!$A$1:$I$69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4" l="1"/>
  <c r="I29" i="4"/>
  <c r="I41" i="4"/>
  <c r="I30" i="4" l="1"/>
  <c r="I32" i="4"/>
  <c r="I35" i="4"/>
  <c r="I31" i="4"/>
  <c r="I24" i="4" l="1"/>
  <c r="I14" i="4"/>
  <c r="I57" i="4"/>
  <c r="I56" i="4"/>
  <c r="I55" i="4"/>
  <c r="I54" i="4"/>
  <c r="I53" i="4"/>
  <c r="I52" i="4"/>
  <c r="I51" i="4"/>
  <c r="I50" i="4"/>
  <c r="I48" i="4"/>
  <c r="I47" i="4"/>
  <c r="I46" i="4"/>
  <c r="I45" i="4"/>
  <c r="I43" i="4"/>
  <c r="E42" i="4"/>
  <c r="I42" i="4" s="1"/>
  <c r="I40" i="4"/>
  <c r="E34" i="4"/>
  <c r="I33" i="4"/>
  <c r="I23" i="4"/>
  <c r="I21" i="4"/>
  <c r="I20" i="4"/>
  <c r="I19" i="4"/>
  <c r="I18" i="4"/>
  <c r="I17" i="4"/>
  <c r="I16" i="4"/>
  <c r="I15" i="4"/>
  <c r="I13" i="4"/>
  <c r="I12" i="4"/>
  <c r="I11" i="4"/>
  <c r="I25" i="4" l="1"/>
  <c r="I28" i="4"/>
  <c r="I44" i="4"/>
  <c r="I58" i="4" s="1"/>
  <c r="I27" i="4" l="1"/>
  <c r="I36" i="4" s="1"/>
  <c r="I60" i="4" s="1"/>
  <c r="I62" i="4" s="1"/>
  <c r="I63" i="4" l="1"/>
  <c r="BA57" i="2" l="1"/>
  <c r="E57" i="2"/>
  <c r="AF57" i="2" s="1"/>
  <c r="BA56" i="2"/>
  <c r="E56" i="2"/>
  <c r="L56" i="2" s="1"/>
  <c r="BA55" i="2"/>
  <c r="AX55" i="2"/>
  <c r="AF55" i="2"/>
  <c r="X55" i="2"/>
  <c r="P55" i="2"/>
  <c r="N55" i="2"/>
  <c r="L55" i="2"/>
  <c r="J55" i="2"/>
  <c r="BA54" i="2"/>
  <c r="BC54" i="2" s="1"/>
  <c r="AZ54" i="2"/>
  <c r="AX54" i="2"/>
  <c r="AV54" i="2"/>
  <c r="AT54" i="2"/>
  <c r="AR54" i="2"/>
  <c r="AP54" i="2"/>
  <c r="AN54" i="2"/>
  <c r="AL54" i="2"/>
  <c r="AJ54" i="2"/>
  <c r="AH54" i="2"/>
  <c r="AF54" i="2"/>
  <c r="AD54" i="2"/>
  <c r="AB54" i="2"/>
  <c r="Z54" i="2"/>
  <c r="X54" i="2"/>
  <c r="V54" i="2"/>
  <c r="T54" i="2"/>
  <c r="R54" i="2"/>
  <c r="P54" i="2"/>
  <c r="N54" i="2"/>
  <c r="L54" i="2"/>
  <c r="J54" i="2"/>
  <c r="H54" i="2"/>
  <c r="BA53" i="2"/>
  <c r="BC53" i="2" s="1"/>
  <c r="AZ53" i="2"/>
  <c r="AX53" i="2"/>
  <c r="AV53" i="2"/>
  <c r="AT53" i="2"/>
  <c r="AR53" i="2"/>
  <c r="AP53" i="2"/>
  <c r="AN53" i="2"/>
  <c r="AL53" i="2"/>
  <c r="AJ53" i="2"/>
  <c r="AH53" i="2"/>
  <c r="AF53" i="2"/>
  <c r="AD53" i="2"/>
  <c r="AB53" i="2"/>
  <c r="Z53" i="2"/>
  <c r="X53" i="2"/>
  <c r="V53" i="2"/>
  <c r="T53" i="2"/>
  <c r="R53" i="2"/>
  <c r="P53" i="2"/>
  <c r="N53" i="2"/>
  <c r="L53" i="2"/>
  <c r="J53" i="2"/>
  <c r="H53" i="2"/>
  <c r="BA52" i="2"/>
  <c r="BC52" i="2" s="1"/>
  <c r="AZ52" i="2"/>
  <c r="AX52" i="2"/>
  <c r="AV52" i="2"/>
  <c r="AT52" i="2"/>
  <c r="AR52" i="2"/>
  <c r="AP52" i="2"/>
  <c r="AN52" i="2"/>
  <c r="AL52" i="2"/>
  <c r="AJ52" i="2"/>
  <c r="AH52" i="2"/>
  <c r="AF52" i="2"/>
  <c r="AD52" i="2"/>
  <c r="AB52" i="2"/>
  <c r="Z52" i="2"/>
  <c r="X52" i="2"/>
  <c r="V52" i="2"/>
  <c r="T52" i="2"/>
  <c r="R52" i="2"/>
  <c r="P52" i="2"/>
  <c r="N52" i="2"/>
  <c r="L52" i="2"/>
  <c r="J52" i="2"/>
  <c r="H52" i="2"/>
  <c r="BA51" i="2"/>
  <c r="BC51" i="2" s="1"/>
  <c r="AZ51" i="2"/>
  <c r="AX51" i="2"/>
  <c r="AV51" i="2"/>
  <c r="AT51" i="2"/>
  <c r="AR51" i="2"/>
  <c r="AP51" i="2"/>
  <c r="AN51" i="2"/>
  <c r="AL51" i="2"/>
  <c r="AJ51" i="2"/>
  <c r="AH51" i="2"/>
  <c r="AD51" i="2"/>
  <c r="AB51" i="2"/>
  <c r="Z51" i="2"/>
  <c r="X51" i="2"/>
  <c r="V51" i="2"/>
  <c r="T51" i="2"/>
  <c r="R51" i="2"/>
  <c r="P51" i="2"/>
  <c r="N51" i="2"/>
  <c r="L51" i="2"/>
  <c r="J51" i="2"/>
  <c r="H51" i="2"/>
  <c r="BA50" i="2"/>
  <c r="BC50" i="2" s="1"/>
  <c r="AZ50" i="2"/>
  <c r="AX50" i="2"/>
  <c r="AV50" i="2"/>
  <c r="AT50" i="2"/>
  <c r="AR50" i="2"/>
  <c r="AP50" i="2"/>
  <c r="AN50" i="2"/>
  <c r="AL50" i="2"/>
  <c r="AJ50" i="2"/>
  <c r="AH50" i="2"/>
  <c r="AD50" i="2"/>
  <c r="AB50" i="2"/>
  <c r="Z50" i="2"/>
  <c r="X50" i="2"/>
  <c r="V50" i="2"/>
  <c r="T50" i="2"/>
  <c r="R50" i="2"/>
  <c r="P50" i="2"/>
  <c r="N50" i="2"/>
  <c r="L50" i="2"/>
  <c r="J50" i="2"/>
  <c r="H50" i="2"/>
  <c r="BA49" i="2"/>
  <c r="BC49" i="2" s="1"/>
  <c r="AZ49" i="2"/>
  <c r="AX49" i="2"/>
  <c r="AV49" i="2"/>
  <c r="AT49" i="2"/>
  <c r="AR49" i="2"/>
  <c r="AP49" i="2"/>
  <c r="AN49" i="2"/>
  <c r="AL49" i="2"/>
  <c r="AJ49" i="2"/>
  <c r="AH49" i="2"/>
  <c r="AD49" i="2"/>
  <c r="AB49" i="2"/>
  <c r="Z49" i="2"/>
  <c r="X49" i="2"/>
  <c r="V49" i="2"/>
  <c r="T49" i="2"/>
  <c r="R49" i="2"/>
  <c r="P49" i="2"/>
  <c r="N49" i="2"/>
  <c r="L49" i="2"/>
  <c r="J49" i="2"/>
  <c r="H49" i="2"/>
  <c r="BA48" i="2"/>
  <c r="BC48" i="2" s="1"/>
  <c r="AZ48" i="2"/>
  <c r="AX48" i="2"/>
  <c r="AV48" i="2"/>
  <c r="AT48" i="2"/>
  <c r="AR48" i="2"/>
  <c r="AP48" i="2"/>
  <c r="AN48" i="2"/>
  <c r="AL48" i="2"/>
  <c r="AJ48" i="2"/>
  <c r="AH48" i="2"/>
  <c r="AD48" i="2"/>
  <c r="AB48" i="2"/>
  <c r="Z48" i="2"/>
  <c r="X48" i="2"/>
  <c r="V48" i="2"/>
  <c r="T48" i="2"/>
  <c r="R48" i="2"/>
  <c r="P48" i="2"/>
  <c r="N48" i="2"/>
  <c r="L48" i="2"/>
  <c r="J48" i="2"/>
  <c r="H48" i="2"/>
  <c r="BA47" i="2"/>
  <c r="BC47" i="2" s="1"/>
  <c r="AZ47" i="2"/>
  <c r="AX47" i="2"/>
  <c r="AV47" i="2"/>
  <c r="AT47" i="2"/>
  <c r="AR47" i="2"/>
  <c r="AP47" i="2"/>
  <c r="AN47" i="2"/>
  <c r="AL47" i="2"/>
  <c r="AJ47" i="2"/>
  <c r="AH47" i="2"/>
  <c r="AD47" i="2"/>
  <c r="AB47" i="2"/>
  <c r="Z47" i="2"/>
  <c r="X47" i="2"/>
  <c r="V47" i="2"/>
  <c r="T47" i="2"/>
  <c r="R47" i="2"/>
  <c r="P47" i="2"/>
  <c r="N47" i="2"/>
  <c r="L47" i="2"/>
  <c r="J47" i="2"/>
  <c r="H47" i="2"/>
  <c r="AX46" i="2"/>
  <c r="BA45" i="2"/>
  <c r="BC45" i="2" s="1"/>
  <c r="AZ45" i="2"/>
  <c r="AX45" i="2"/>
  <c r="AV45" i="2"/>
  <c r="AT45" i="2"/>
  <c r="AR45" i="2"/>
  <c r="AP45" i="2"/>
  <c r="AN45" i="2"/>
  <c r="AL45" i="2"/>
  <c r="AJ45" i="2"/>
  <c r="AH45" i="2"/>
  <c r="AF45" i="2"/>
  <c r="AD45" i="2"/>
  <c r="AB45" i="2"/>
  <c r="Z45" i="2"/>
  <c r="X45" i="2"/>
  <c r="V45" i="2"/>
  <c r="T45" i="2"/>
  <c r="R45" i="2"/>
  <c r="P45" i="2"/>
  <c r="N45" i="2"/>
  <c r="L45" i="2"/>
  <c r="J45" i="2"/>
  <c r="H45" i="2"/>
  <c r="BA44" i="2"/>
  <c r="BC44" i="2" s="1"/>
  <c r="AZ44" i="2"/>
  <c r="AX44" i="2"/>
  <c r="AV44" i="2"/>
  <c r="AT44" i="2"/>
  <c r="AR44" i="2"/>
  <c r="AP44" i="2"/>
  <c r="AN44" i="2"/>
  <c r="AL44" i="2"/>
  <c r="AJ44" i="2"/>
  <c r="AH44" i="2"/>
  <c r="AD44" i="2"/>
  <c r="AB44" i="2"/>
  <c r="Z44" i="2"/>
  <c r="X44" i="2"/>
  <c r="V44" i="2"/>
  <c r="T44" i="2"/>
  <c r="R44" i="2"/>
  <c r="P44" i="2"/>
  <c r="N44" i="2"/>
  <c r="L44" i="2"/>
  <c r="J44" i="2"/>
  <c r="H44" i="2"/>
  <c r="BA43" i="2"/>
  <c r="BC43" i="2" s="1"/>
  <c r="AZ43" i="2"/>
  <c r="AX43" i="2"/>
  <c r="AV43" i="2"/>
  <c r="AT43" i="2"/>
  <c r="AR43" i="2"/>
  <c r="AP43" i="2"/>
  <c r="AN43" i="2"/>
  <c r="AL43" i="2"/>
  <c r="AJ43" i="2"/>
  <c r="AH43" i="2"/>
  <c r="AD43" i="2"/>
  <c r="AB43" i="2"/>
  <c r="Z43" i="2"/>
  <c r="X43" i="2"/>
  <c r="V43" i="2"/>
  <c r="T43" i="2"/>
  <c r="R43" i="2"/>
  <c r="P43" i="2"/>
  <c r="N43" i="2"/>
  <c r="L43" i="2"/>
  <c r="J43" i="2"/>
  <c r="H43" i="2"/>
  <c r="BA42" i="2"/>
  <c r="BC42" i="2" s="1"/>
  <c r="AZ42" i="2"/>
  <c r="AX42" i="2"/>
  <c r="AV42" i="2"/>
  <c r="AT42" i="2"/>
  <c r="AR42" i="2"/>
  <c r="AP42" i="2"/>
  <c r="AN42" i="2"/>
  <c r="AL42" i="2"/>
  <c r="AJ42" i="2"/>
  <c r="AH42" i="2"/>
  <c r="AD42" i="2"/>
  <c r="AB42" i="2"/>
  <c r="Z42" i="2"/>
  <c r="X42" i="2"/>
  <c r="V42" i="2"/>
  <c r="T42" i="2"/>
  <c r="R42" i="2"/>
  <c r="P42" i="2"/>
  <c r="N42" i="2"/>
  <c r="L42" i="2"/>
  <c r="J42" i="2"/>
  <c r="H42" i="2"/>
  <c r="BA41" i="2"/>
  <c r="BC41" i="2" s="1"/>
  <c r="AZ41" i="2"/>
  <c r="AX41" i="2"/>
  <c r="AV41" i="2"/>
  <c r="AT41" i="2"/>
  <c r="AR41" i="2"/>
  <c r="AP41" i="2"/>
  <c r="AN41" i="2"/>
  <c r="AL41" i="2"/>
  <c r="AJ41" i="2"/>
  <c r="AH41" i="2"/>
  <c r="AD41" i="2"/>
  <c r="AB41" i="2"/>
  <c r="Z41" i="2"/>
  <c r="X41" i="2"/>
  <c r="V41" i="2"/>
  <c r="T41" i="2"/>
  <c r="R41" i="2"/>
  <c r="P41" i="2"/>
  <c r="N41" i="2"/>
  <c r="L41" i="2"/>
  <c r="J41" i="2"/>
  <c r="H41" i="2"/>
  <c r="BA40" i="2"/>
  <c r="BC40" i="2" s="1"/>
  <c r="AZ40" i="2"/>
  <c r="AX40" i="2"/>
  <c r="AV40" i="2"/>
  <c r="AT40" i="2"/>
  <c r="AR40" i="2"/>
  <c r="AP40" i="2"/>
  <c r="AN40" i="2"/>
  <c r="AL40" i="2"/>
  <c r="AJ40" i="2"/>
  <c r="AH40" i="2"/>
  <c r="AD40" i="2"/>
  <c r="AB40" i="2"/>
  <c r="Z40" i="2"/>
  <c r="X40" i="2"/>
  <c r="V40" i="2"/>
  <c r="T40" i="2"/>
  <c r="R40" i="2"/>
  <c r="P40" i="2"/>
  <c r="N40" i="2"/>
  <c r="L40" i="2"/>
  <c r="J40" i="2"/>
  <c r="H40" i="2"/>
  <c r="BA39" i="2"/>
  <c r="BC39" i="2" s="1"/>
  <c r="AZ39" i="2"/>
  <c r="AX39" i="2"/>
  <c r="AV39" i="2"/>
  <c r="AT39" i="2"/>
  <c r="AR39" i="2"/>
  <c r="AP39" i="2"/>
  <c r="AN39" i="2"/>
  <c r="AL39" i="2"/>
  <c r="AJ39" i="2"/>
  <c r="AH39" i="2"/>
  <c r="AF39" i="2"/>
  <c r="AD39" i="2"/>
  <c r="AB39" i="2"/>
  <c r="Z39" i="2"/>
  <c r="X39" i="2"/>
  <c r="V39" i="2"/>
  <c r="T39" i="2"/>
  <c r="R39" i="2"/>
  <c r="P39" i="2"/>
  <c r="N39" i="2"/>
  <c r="L39" i="2"/>
  <c r="J39" i="2"/>
  <c r="H39" i="2"/>
  <c r="BA38" i="2"/>
  <c r="BC38" i="2" s="1"/>
  <c r="AZ38" i="2"/>
  <c r="AX38" i="2"/>
  <c r="AV38" i="2"/>
  <c r="AT38" i="2"/>
  <c r="AR38" i="2"/>
  <c r="AP38" i="2"/>
  <c r="AN38" i="2"/>
  <c r="AL38" i="2"/>
  <c r="AJ38" i="2"/>
  <c r="AH38" i="2"/>
  <c r="AD38" i="2"/>
  <c r="AB38" i="2"/>
  <c r="Z38" i="2"/>
  <c r="X38" i="2"/>
  <c r="V38" i="2"/>
  <c r="T38" i="2"/>
  <c r="R38" i="2"/>
  <c r="P38" i="2"/>
  <c r="N38" i="2"/>
  <c r="L38" i="2"/>
  <c r="J38" i="2"/>
  <c r="H38" i="2"/>
  <c r="BA33" i="2"/>
  <c r="BC33" i="2" s="1"/>
  <c r="AZ33" i="2"/>
  <c r="AX33" i="2"/>
  <c r="AV33" i="2"/>
  <c r="AT33" i="2"/>
  <c r="AR33" i="2"/>
  <c r="AP33" i="2"/>
  <c r="AN33" i="2"/>
  <c r="AL33" i="2"/>
  <c r="AJ33" i="2"/>
  <c r="AH33" i="2"/>
  <c r="AD33" i="2"/>
  <c r="AB33" i="2"/>
  <c r="Z33" i="2"/>
  <c r="X33" i="2"/>
  <c r="V33" i="2"/>
  <c r="T33" i="2"/>
  <c r="R33" i="2"/>
  <c r="P33" i="2"/>
  <c r="N33" i="2"/>
  <c r="L33" i="2"/>
  <c r="J33" i="2"/>
  <c r="H33" i="2"/>
  <c r="BA32" i="2"/>
  <c r="BC32" i="2" s="1"/>
  <c r="AZ32" i="2"/>
  <c r="AX32" i="2"/>
  <c r="AV32" i="2"/>
  <c r="AT32" i="2"/>
  <c r="AR32" i="2"/>
  <c r="AP32" i="2"/>
  <c r="AN32" i="2"/>
  <c r="AL32" i="2"/>
  <c r="AJ32" i="2"/>
  <c r="AH32" i="2"/>
  <c r="AF32" i="2"/>
  <c r="AD32" i="2"/>
  <c r="AB32" i="2"/>
  <c r="Z32" i="2"/>
  <c r="X32" i="2"/>
  <c r="V32" i="2"/>
  <c r="T32" i="2"/>
  <c r="R32" i="2"/>
  <c r="P32" i="2"/>
  <c r="N32" i="2"/>
  <c r="L32" i="2"/>
  <c r="J32" i="2"/>
  <c r="H32" i="2"/>
  <c r="AZ31" i="2"/>
  <c r="AX31" i="2"/>
  <c r="AV31" i="2"/>
  <c r="AT31" i="2"/>
  <c r="AR31" i="2"/>
  <c r="AP31" i="2"/>
  <c r="AN31" i="2"/>
  <c r="AL31" i="2"/>
  <c r="AJ31" i="2"/>
  <c r="AH31" i="2"/>
  <c r="AD31" i="2"/>
  <c r="AB31" i="2"/>
  <c r="Z31" i="2"/>
  <c r="X31" i="2"/>
  <c r="V31" i="2"/>
  <c r="T31" i="2"/>
  <c r="Q31" i="2"/>
  <c r="BA31" i="2" s="1"/>
  <c r="BC31" i="2" s="1"/>
  <c r="P31" i="2"/>
  <c r="N31" i="2"/>
  <c r="L31" i="2"/>
  <c r="J31" i="2"/>
  <c r="H31" i="2"/>
  <c r="BA30" i="2"/>
  <c r="BC30" i="2" s="1"/>
  <c r="AZ30" i="2"/>
  <c r="AX30" i="2"/>
  <c r="AV30" i="2"/>
  <c r="AT30" i="2"/>
  <c r="AR30" i="2"/>
  <c r="AP30" i="2"/>
  <c r="AN30" i="2"/>
  <c r="AL30" i="2"/>
  <c r="AJ30" i="2"/>
  <c r="AH30" i="2"/>
  <c r="AD30" i="2"/>
  <c r="AB30" i="2"/>
  <c r="Z30" i="2"/>
  <c r="X30" i="2"/>
  <c r="V30" i="2"/>
  <c r="T30" i="2"/>
  <c r="R30" i="2"/>
  <c r="P30" i="2"/>
  <c r="N30" i="2"/>
  <c r="L30" i="2"/>
  <c r="J30" i="2"/>
  <c r="H30" i="2"/>
  <c r="BA29" i="2"/>
  <c r="AF29" i="2"/>
  <c r="BB29" i="2" s="1"/>
  <c r="BA28" i="2"/>
  <c r="BC28" i="2" s="1"/>
  <c r="AZ28" i="2"/>
  <c r="AX28" i="2"/>
  <c r="AV28" i="2"/>
  <c r="AT28" i="2"/>
  <c r="AR28" i="2"/>
  <c r="AP28" i="2"/>
  <c r="AN28" i="2"/>
  <c r="AL28" i="2"/>
  <c r="AJ28" i="2"/>
  <c r="AH28" i="2"/>
  <c r="AD28" i="2"/>
  <c r="AB28" i="2"/>
  <c r="Z28" i="2"/>
  <c r="X28" i="2"/>
  <c r="V28" i="2"/>
  <c r="T28" i="2"/>
  <c r="R28" i="2"/>
  <c r="P28" i="2"/>
  <c r="N28" i="2"/>
  <c r="L28" i="2"/>
  <c r="J28" i="2"/>
  <c r="H28" i="2"/>
  <c r="BA27" i="2"/>
  <c r="BC27" i="2" s="1"/>
  <c r="AZ27" i="2"/>
  <c r="AX27" i="2"/>
  <c r="AV27" i="2"/>
  <c r="AT27" i="2"/>
  <c r="AR27" i="2"/>
  <c r="AP27" i="2"/>
  <c r="AN27" i="2"/>
  <c r="AL27" i="2"/>
  <c r="AJ27" i="2"/>
  <c r="AH27" i="2"/>
  <c r="AD27" i="2"/>
  <c r="AB27" i="2"/>
  <c r="Z27" i="2"/>
  <c r="X27" i="2"/>
  <c r="V27" i="2"/>
  <c r="T27" i="2"/>
  <c r="R27" i="2"/>
  <c r="P27" i="2"/>
  <c r="N27" i="2"/>
  <c r="L27" i="2"/>
  <c r="J27" i="2"/>
  <c r="H27" i="2"/>
  <c r="BA26" i="2"/>
  <c r="BC26" i="2" s="1"/>
  <c r="AZ26" i="2"/>
  <c r="AX26" i="2"/>
  <c r="AV26" i="2"/>
  <c r="AT26" i="2"/>
  <c r="AR26" i="2"/>
  <c r="AP26" i="2"/>
  <c r="AN26" i="2"/>
  <c r="AL26" i="2"/>
  <c r="AJ26" i="2"/>
  <c r="AH26" i="2"/>
  <c r="AD26" i="2"/>
  <c r="AB26" i="2"/>
  <c r="Z26" i="2"/>
  <c r="X26" i="2"/>
  <c r="V26" i="2"/>
  <c r="T26" i="2"/>
  <c r="R26" i="2"/>
  <c r="P26" i="2"/>
  <c r="N26" i="2"/>
  <c r="L26" i="2"/>
  <c r="J26" i="2"/>
  <c r="J25" i="2" s="1"/>
  <c r="H26" i="2"/>
  <c r="BA25" i="2"/>
  <c r="AZ21" i="2"/>
  <c r="AX21" i="2"/>
  <c r="AV21" i="2"/>
  <c r="AT21" i="2"/>
  <c r="AR21" i="2"/>
  <c r="AP21" i="2"/>
  <c r="AN21" i="2"/>
  <c r="AL21" i="2"/>
  <c r="AJ21" i="2"/>
  <c r="AH21" i="2"/>
  <c r="AD21" i="2"/>
  <c r="AB21" i="2"/>
  <c r="Z21" i="2"/>
  <c r="X21" i="2"/>
  <c r="V21" i="2"/>
  <c r="T21" i="2"/>
  <c r="Q21" i="2"/>
  <c r="BA21" i="2" s="1"/>
  <c r="BC21" i="2" s="1"/>
  <c r="P21" i="2"/>
  <c r="H21" i="2"/>
  <c r="BA20" i="2"/>
  <c r="BC20" i="2" s="1"/>
  <c r="AZ20" i="2"/>
  <c r="AX20" i="2"/>
  <c r="AV20" i="2"/>
  <c r="AT20" i="2"/>
  <c r="AR20" i="2"/>
  <c r="AP20" i="2"/>
  <c r="AN20" i="2"/>
  <c r="AL20" i="2"/>
  <c r="AJ20" i="2"/>
  <c r="AH20" i="2"/>
  <c r="AD20" i="2"/>
  <c r="AB20" i="2"/>
  <c r="Z20" i="2"/>
  <c r="X20" i="2"/>
  <c r="V20" i="2"/>
  <c r="T20" i="2"/>
  <c r="R20" i="2"/>
  <c r="P20" i="2"/>
  <c r="H20" i="2"/>
  <c r="AZ19" i="2"/>
  <c r="AX19" i="2"/>
  <c r="AV19" i="2"/>
  <c r="AT19" i="2"/>
  <c r="AR19" i="2"/>
  <c r="AP19" i="2"/>
  <c r="AN19" i="2"/>
  <c r="AL19" i="2"/>
  <c r="AJ19" i="2"/>
  <c r="AH19" i="2"/>
  <c r="AD19" i="2"/>
  <c r="AB19" i="2"/>
  <c r="Z19" i="2"/>
  <c r="X19" i="2"/>
  <c r="V19" i="2"/>
  <c r="T19" i="2"/>
  <c r="AZ18" i="2"/>
  <c r="AX18" i="2"/>
  <c r="AV18" i="2"/>
  <c r="AT18" i="2"/>
  <c r="AR18" i="2"/>
  <c r="AP18" i="2"/>
  <c r="AN18" i="2"/>
  <c r="AL18" i="2"/>
  <c r="AJ18" i="2"/>
  <c r="AH18" i="2"/>
  <c r="AD18" i="2"/>
  <c r="AB18" i="2"/>
  <c r="Z18" i="2"/>
  <c r="X18" i="2"/>
  <c r="V18" i="2"/>
  <c r="T18" i="2"/>
  <c r="Q18" i="2"/>
  <c r="BA18" i="2" s="1"/>
  <c r="BC18" i="2" s="1"/>
  <c r="P18" i="2"/>
  <c r="H18" i="2"/>
  <c r="AZ17" i="2"/>
  <c r="AX17" i="2"/>
  <c r="AV17" i="2"/>
  <c r="AT17" i="2"/>
  <c r="AR17" i="2"/>
  <c r="AP17" i="2"/>
  <c r="AN17" i="2"/>
  <c r="AL17" i="2"/>
  <c r="AJ17" i="2"/>
  <c r="AH17" i="2"/>
  <c r="AD17" i="2"/>
  <c r="AB17" i="2"/>
  <c r="Z17" i="2"/>
  <c r="X17" i="2"/>
  <c r="V17" i="2"/>
  <c r="T17" i="2"/>
  <c r="Q17" i="2"/>
  <c r="R17" i="2" s="1"/>
  <c r="P17" i="2"/>
  <c r="H17" i="2"/>
  <c r="AZ16" i="2"/>
  <c r="AX16" i="2"/>
  <c r="AV16" i="2"/>
  <c r="AT16" i="2"/>
  <c r="AR16" i="2"/>
  <c r="AP16" i="2"/>
  <c r="AN16" i="2"/>
  <c r="AL16" i="2"/>
  <c r="AJ16" i="2"/>
  <c r="AH16" i="2"/>
  <c r="AF16" i="2"/>
  <c r="AD16" i="2"/>
  <c r="AB16" i="2"/>
  <c r="Z16" i="2"/>
  <c r="X16" i="2"/>
  <c r="V16" i="2"/>
  <c r="T16" i="2"/>
  <c r="R16" i="2"/>
  <c r="Q16" i="2"/>
  <c r="BA16" i="2" s="1"/>
  <c r="BC16" i="2" s="1"/>
  <c r="P16" i="2"/>
  <c r="H16" i="2"/>
  <c r="AZ15" i="2"/>
  <c r="AX15" i="2"/>
  <c r="AV15" i="2"/>
  <c r="AT15" i="2"/>
  <c r="AR15" i="2"/>
  <c r="AP15" i="2"/>
  <c r="AN15" i="2"/>
  <c r="AL15" i="2"/>
  <c r="AJ15" i="2"/>
  <c r="AH15" i="2"/>
  <c r="AF15" i="2"/>
  <c r="AD15" i="2"/>
  <c r="AB15" i="2"/>
  <c r="Z15" i="2"/>
  <c r="X15" i="2"/>
  <c r="V15" i="2"/>
  <c r="T15" i="2"/>
  <c r="Q15" i="2"/>
  <c r="BA15" i="2" s="1"/>
  <c r="BC15" i="2" s="1"/>
  <c r="P15" i="2"/>
  <c r="H15" i="2"/>
  <c r="BF15" i="2" s="1"/>
  <c r="BA14" i="2"/>
  <c r="BC14" i="2" s="1"/>
  <c r="AZ14" i="2"/>
  <c r="AX14" i="2"/>
  <c r="AV14" i="2"/>
  <c r="AT14" i="2"/>
  <c r="AR14" i="2"/>
  <c r="AP14" i="2"/>
  <c r="AN14" i="2"/>
  <c r="AL14" i="2"/>
  <c r="AJ14" i="2"/>
  <c r="AH14" i="2"/>
  <c r="AD14" i="2"/>
  <c r="AB14" i="2"/>
  <c r="Z14" i="2"/>
  <c r="X14" i="2"/>
  <c r="V14" i="2"/>
  <c r="T14" i="2"/>
  <c r="R14" i="2"/>
  <c r="P14" i="2"/>
  <c r="N14" i="2"/>
  <c r="L14" i="2"/>
  <c r="J14" i="2"/>
  <c r="H14" i="2"/>
  <c r="AZ13" i="2"/>
  <c r="AX13" i="2"/>
  <c r="AV13" i="2"/>
  <c r="AT13" i="2"/>
  <c r="AR13" i="2"/>
  <c r="AP13" i="2"/>
  <c r="AN13" i="2"/>
  <c r="AL13" i="2"/>
  <c r="AJ13" i="2"/>
  <c r="AH13" i="2"/>
  <c r="AD13" i="2"/>
  <c r="AB13" i="2"/>
  <c r="Z13" i="2"/>
  <c r="X13" i="2"/>
  <c r="V13" i="2"/>
  <c r="T13" i="2"/>
  <c r="Q13" i="2"/>
  <c r="BA13" i="2" s="1"/>
  <c r="BC13" i="2" s="1"/>
  <c r="P13" i="2"/>
  <c r="H13" i="2"/>
  <c r="BA12" i="2"/>
  <c r="AF12" i="2"/>
  <c r="BB12" i="2" s="1"/>
  <c r="H12" i="2"/>
  <c r="AZ11" i="2"/>
  <c r="AX11" i="2"/>
  <c r="AV11" i="2"/>
  <c r="AT11" i="2"/>
  <c r="AR11" i="2"/>
  <c r="AP11" i="2"/>
  <c r="AN11" i="2"/>
  <c r="AL11" i="2"/>
  <c r="AJ11" i="2"/>
  <c r="AH11" i="2"/>
  <c r="AD11" i="2"/>
  <c r="AB11" i="2"/>
  <c r="Z11" i="2"/>
  <c r="X11" i="2"/>
  <c r="V11" i="2"/>
  <c r="T11" i="2"/>
  <c r="Q11" i="2"/>
  <c r="BA11" i="2" s="1"/>
  <c r="BC11" i="2" s="1"/>
  <c r="P11" i="2"/>
  <c r="H11" i="2"/>
  <c r="AZ10" i="2"/>
  <c r="AX10" i="2"/>
  <c r="AV10" i="2"/>
  <c r="AT10" i="2"/>
  <c r="AR10" i="2"/>
  <c r="AP10" i="2"/>
  <c r="AN10" i="2"/>
  <c r="AL10" i="2"/>
  <c r="AJ10" i="2"/>
  <c r="AH10" i="2"/>
  <c r="AD10" i="2"/>
  <c r="AB10" i="2"/>
  <c r="Z10" i="2"/>
  <c r="X10" i="2"/>
  <c r="V10" i="2"/>
  <c r="T10" i="2"/>
  <c r="Q10" i="2"/>
  <c r="BA10" i="2" s="1"/>
  <c r="BC10" i="2" s="1"/>
  <c r="P10" i="2"/>
  <c r="H10" i="2"/>
  <c r="BA9" i="2"/>
  <c r="BC9" i="2" s="1"/>
  <c r="AZ9" i="2"/>
  <c r="AX9" i="2"/>
  <c r="AV9" i="2"/>
  <c r="AT9" i="2"/>
  <c r="AR9" i="2"/>
  <c r="AP9" i="2"/>
  <c r="AN9" i="2"/>
  <c r="AL9" i="2"/>
  <c r="AJ9" i="2"/>
  <c r="AH9" i="2"/>
  <c r="AD9" i="2"/>
  <c r="AB9" i="2"/>
  <c r="Z9" i="2"/>
  <c r="X9" i="2"/>
  <c r="V9" i="2"/>
  <c r="T9" i="2"/>
  <c r="R9" i="2"/>
  <c r="P9" i="2"/>
  <c r="N9" i="2"/>
  <c r="L9" i="2"/>
  <c r="J9" i="2"/>
  <c r="J22" i="2" s="1"/>
  <c r="J24" i="2" s="1"/>
  <c r="H9" i="2"/>
  <c r="AY8" i="2"/>
  <c r="AZ8" i="2" s="1"/>
  <c r="AX8" i="2"/>
  <c r="AV8" i="2"/>
  <c r="AT8" i="2"/>
  <c r="AR8" i="2"/>
  <c r="AP8" i="2"/>
  <c r="AN8" i="2"/>
  <c r="AL8" i="2"/>
  <c r="AJ8" i="2"/>
  <c r="AH8" i="2"/>
  <c r="AD8" i="2"/>
  <c r="AB8" i="2"/>
  <c r="Z8" i="2"/>
  <c r="X8" i="2"/>
  <c r="V8" i="2"/>
  <c r="T8" i="2"/>
  <c r="Q8" i="2"/>
  <c r="BA8" i="2" s="1"/>
  <c r="BC8" i="2" s="1"/>
  <c r="P8" i="2"/>
  <c r="H8" i="2"/>
  <c r="J6" i="2"/>
  <c r="BA17" i="2" l="1"/>
  <c r="BC17" i="2" s="1"/>
  <c r="L22" i="2"/>
  <c r="L24" i="2" s="1"/>
  <c r="N22" i="2"/>
  <c r="N24" i="2" s="1"/>
  <c r="AF25" i="2"/>
  <c r="J57" i="2"/>
  <c r="AT25" i="2"/>
  <c r="T25" i="2"/>
  <c r="AP22" i="2"/>
  <c r="AP24" i="2" s="1"/>
  <c r="AZ25" i="2"/>
  <c r="AF56" i="2"/>
  <c r="V25" i="2"/>
  <c r="R8" i="2"/>
  <c r="BB20" i="2"/>
  <c r="BD20" i="2" s="1"/>
  <c r="X25" i="2"/>
  <c r="R58" i="2"/>
  <c r="AJ58" i="2"/>
  <c r="AZ58" i="2"/>
  <c r="BB47" i="2"/>
  <c r="AJ22" i="2"/>
  <c r="AJ24" i="2" s="1"/>
  <c r="Z25" i="2"/>
  <c r="J34" i="2"/>
  <c r="L25" i="2"/>
  <c r="L34" i="2" s="1"/>
  <c r="AB25" i="2"/>
  <c r="BB33" i="2"/>
  <c r="BD33" i="2" s="1"/>
  <c r="V58" i="2"/>
  <c r="AN58" i="2"/>
  <c r="R13" i="2"/>
  <c r="BB13" i="2" s="1"/>
  <c r="BD13" i="2" s="1"/>
  <c r="BB16" i="2"/>
  <c r="AL25" i="2"/>
  <c r="R31" i="2"/>
  <c r="R25" i="2" s="1"/>
  <c r="H58" i="2"/>
  <c r="X58" i="2"/>
  <c r="AP58" i="2"/>
  <c r="BB39" i="2"/>
  <c r="BD39" i="2" s="1"/>
  <c r="BB44" i="2"/>
  <c r="BD44" i="2" s="1"/>
  <c r="AT22" i="2"/>
  <c r="AT24" i="2" s="1"/>
  <c r="R10" i="2"/>
  <c r="BB10" i="2" s="1"/>
  <c r="BD10" i="2" s="1"/>
  <c r="AN25" i="2"/>
  <c r="BB30" i="2"/>
  <c r="BD30" i="2" s="1"/>
  <c r="Z58" i="2"/>
  <c r="AR58" i="2"/>
  <c r="BB41" i="2"/>
  <c r="BD41" i="2" s="1"/>
  <c r="BB48" i="2"/>
  <c r="BD48" i="2" s="1"/>
  <c r="H22" i="2"/>
  <c r="H24" i="2" s="1"/>
  <c r="BB8" i="2"/>
  <c r="BD8" i="2" s="1"/>
  <c r="BB14" i="2"/>
  <c r="BD14" i="2" s="1"/>
  <c r="AV22" i="2"/>
  <c r="AV24" i="2" s="1"/>
  <c r="H25" i="2"/>
  <c r="BB28" i="2"/>
  <c r="BD28" i="2" s="1"/>
  <c r="BB32" i="2"/>
  <c r="BD32" i="2" s="1"/>
  <c r="AP25" i="2"/>
  <c r="AB58" i="2"/>
  <c r="AT58" i="2"/>
  <c r="BB51" i="2"/>
  <c r="BD51" i="2" s="1"/>
  <c r="BB54" i="2"/>
  <c r="BD54" i="2" s="1"/>
  <c r="AR22" i="2"/>
  <c r="AR24" i="2" s="1"/>
  <c r="AH22" i="2"/>
  <c r="AH24" i="2" s="1"/>
  <c r="R15" i="2"/>
  <c r="BB15" i="2" s="1"/>
  <c r="BD15" i="2" s="1"/>
  <c r="AX22" i="2"/>
  <c r="AX24" i="2" s="1"/>
  <c r="R21" i="2"/>
  <c r="BB21" i="2" s="1"/>
  <c r="BD21" i="2" s="1"/>
  <c r="BB31" i="2"/>
  <c r="BD31" i="2" s="1"/>
  <c r="AR25" i="2"/>
  <c r="AD58" i="2"/>
  <c r="AV58" i="2"/>
  <c r="BB40" i="2"/>
  <c r="BD40" i="2" s="1"/>
  <c r="BB55" i="2"/>
  <c r="P22" i="2"/>
  <c r="P24" i="2" s="1"/>
  <c r="BB27" i="2"/>
  <c r="AH58" i="2"/>
  <c r="AX58" i="2"/>
  <c r="AF58" i="2"/>
  <c r="BB52" i="2"/>
  <c r="BD52" i="2" s="1"/>
  <c r="J56" i="2"/>
  <c r="BD16" i="2"/>
  <c r="AJ25" i="2"/>
  <c r="AJ34" i="2" s="1"/>
  <c r="AL22" i="2"/>
  <c r="AL24" i="2" s="1"/>
  <c r="BB9" i="2"/>
  <c r="BD9" i="2" s="1"/>
  <c r="R11" i="2"/>
  <c r="BB11" i="2" s="1"/>
  <c r="BD11" i="2" s="1"/>
  <c r="N25" i="2"/>
  <c r="N34" i="2" s="1"/>
  <c r="AD25" i="2"/>
  <c r="AV25" i="2"/>
  <c r="P25" i="2"/>
  <c r="AX25" i="2"/>
  <c r="BB45" i="2"/>
  <c r="BD45" i="2" s="1"/>
  <c r="BB50" i="2"/>
  <c r="BD50" i="2" s="1"/>
  <c r="BB53" i="2"/>
  <c r="BD53" i="2" s="1"/>
  <c r="N56" i="2"/>
  <c r="BB43" i="2"/>
  <c r="AN22" i="2"/>
  <c r="AN24" i="2" s="1"/>
  <c r="AH25" i="2"/>
  <c r="T58" i="2"/>
  <c r="AL58" i="2"/>
  <c r="BB42" i="2"/>
  <c r="BD42" i="2" s="1"/>
  <c r="BD43" i="2"/>
  <c r="BD47" i="2"/>
  <c r="BB49" i="2"/>
  <c r="BD49" i="2" s="1"/>
  <c r="P56" i="2"/>
  <c r="T22" i="2"/>
  <c r="T24" i="2" s="1"/>
  <c r="V22" i="2"/>
  <c r="V24" i="2" s="1"/>
  <c r="V34" i="2" s="1"/>
  <c r="V60" i="2" s="1"/>
  <c r="V62" i="2" s="1"/>
  <c r="V63" i="2" s="1"/>
  <c r="AZ22" i="2"/>
  <c r="AZ24" i="2" s="1"/>
  <c r="AZ34" i="2" s="1"/>
  <c r="AZ60" i="2" s="1"/>
  <c r="AZ62" i="2" s="1"/>
  <c r="AZ63" i="2" s="1"/>
  <c r="X22" i="2"/>
  <c r="X24" i="2" s="1"/>
  <c r="X34" i="2" s="1"/>
  <c r="Z22" i="2"/>
  <c r="Z24" i="2" s="1"/>
  <c r="Z34" i="2" s="1"/>
  <c r="AB22" i="2"/>
  <c r="AB24" i="2" s="1"/>
  <c r="AD22" i="2"/>
  <c r="AD24" i="2" s="1"/>
  <c r="AD34" i="2" s="1"/>
  <c r="AF22" i="2"/>
  <c r="AF24" i="2" s="1"/>
  <c r="AF34" i="2" s="1"/>
  <c r="BF21" i="2"/>
  <c r="BB17" i="2"/>
  <c r="BD17" i="2" s="1"/>
  <c r="AL34" i="2"/>
  <c r="AL60" i="2" s="1"/>
  <c r="BB26" i="2"/>
  <c r="BD26" i="2" s="1"/>
  <c r="BB38" i="2"/>
  <c r="BD38" i="2" s="1"/>
  <c r="R18" i="2"/>
  <c r="BB18" i="2" s="1"/>
  <c r="L57" i="2"/>
  <c r="N57" i="2"/>
  <c r="P57" i="2"/>
  <c r="BD27" i="2"/>
  <c r="X60" i="2" l="1"/>
  <c r="AX34" i="2"/>
  <c r="AX60" i="2" s="1"/>
  <c r="AJ60" i="2"/>
  <c r="H34" i="2"/>
  <c r="AT34" i="2"/>
  <c r="BB57" i="2"/>
  <c r="AF60" i="2"/>
  <c r="AF62" i="2" s="1"/>
  <c r="AF63" i="2" s="1"/>
  <c r="J58" i="2"/>
  <c r="J60" i="2" s="1"/>
  <c r="J62" i="2" s="1"/>
  <c r="J63" i="2" s="1"/>
  <c r="J64" i="2" s="1"/>
  <c r="J66" i="2" s="1"/>
  <c r="Z60" i="2"/>
  <c r="Z62" i="2" s="1"/>
  <c r="Z63" i="2" s="1"/>
  <c r="T34" i="2"/>
  <c r="AP34" i="2"/>
  <c r="AD60" i="2"/>
  <c r="AD62" i="2" s="1"/>
  <c r="AD63" i="2" s="1"/>
  <c r="AN34" i="2"/>
  <c r="AN60" i="2" s="1"/>
  <c r="AN62" i="2" s="1"/>
  <c r="AN63" i="2" s="1"/>
  <c r="AB34" i="2"/>
  <c r="AB60" i="2" s="1"/>
  <c r="AB62" i="2" s="1"/>
  <c r="AB63" i="2" s="1"/>
  <c r="BB56" i="2"/>
  <c r="AH34" i="2"/>
  <c r="AH60" i="2" s="1"/>
  <c r="AH62" i="2" s="1"/>
  <c r="AH63" i="2" s="1"/>
  <c r="P34" i="2"/>
  <c r="P58" i="2"/>
  <c r="N58" i="2"/>
  <c r="BB25" i="2"/>
  <c r="BD25" i="2" s="1"/>
  <c r="L58" i="2"/>
  <c r="L60" i="2" s="1"/>
  <c r="AT60" i="2"/>
  <c r="AT62" i="2" s="1"/>
  <c r="AT63" i="2" s="1"/>
  <c r="T60" i="2"/>
  <c r="T62" i="2" s="1"/>
  <c r="T63" i="2" s="1"/>
  <c r="AR34" i="2"/>
  <c r="AR60" i="2" s="1"/>
  <c r="AR62" i="2" s="1"/>
  <c r="AR63" i="2" s="1"/>
  <c r="AV34" i="2"/>
  <c r="AV60" i="2" s="1"/>
  <c r="AV62" i="2" s="1"/>
  <c r="AV63" i="2" s="1"/>
  <c r="AP60" i="2"/>
  <c r="AP62" i="2" s="1"/>
  <c r="AP63" i="2" s="1"/>
  <c r="BF22" i="2"/>
  <c r="BD18" i="2"/>
  <c r="BD22" i="2" s="1"/>
  <c r="BD24" i="2" s="1"/>
  <c r="BD34" i="2" s="1"/>
  <c r="BB22" i="2"/>
  <c r="BB24" i="2" s="1"/>
  <c r="BB34" i="2" s="1"/>
  <c r="AJ62" i="2"/>
  <c r="AJ63" i="2" s="1"/>
  <c r="BF34" i="2"/>
  <c r="H60" i="2"/>
  <c r="AX62" i="2"/>
  <c r="AX63" i="2" s="1"/>
  <c r="AL62" i="2"/>
  <c r="AL63" i="2" s="1"/>
  <c r="R22" i="2"/>
  <c r="R24" i="2" s="1"/>
  <c r="R34" i="2" s="1"/>
  <c r="R60" i="2" s="1"/>
  <c r="P60" i="2"/>
  <c r="X62" i="2"/>
  <c r="X63" i="2" s="1"/>
  <c r="BB58" i="2" l="1"/>
  <c r="BD58" i="2" s="1"/>
  <c r="N60" i="2"/>
  <c r="N62" i="2" s="1"/>
  <c r="N63" i="2" s="1"/>
  <c r="BD60" i="2"/>
  <c r="BD62" i="2" s="1"/>
  <c r="BD63" i="2" s="1"/>
  <c r="BB60" i="2"/>
  <c r="L62" i="2"/>
  <c r="L63" i="2" s="1"/>
  <c r="L64" i="2" s="1"/>
  <c r="R65" i="2"/>
  <c r="R62" i="2"/>
  <c r="R63" i="2" s="1"/>
  <c r="BB62" i="2"/>
  <c r="BB63" i="2" s="1"/>
  <c r="P62" i="2"/>
  <c r="P63" i="2" s="1"/>
  <c r="H62" i="2"/>
  <c r="H63" i="2" s="1"/>
  <c r="BB64" i="2" s="1"/>
  <c r="L66" i="2" l="1"/>
  <c r="N64" i="2"/>
  <c r="N66" i="2" l="1"/>
  <c r="P64" i="2"/>
  <c r="P66" i="2" l="1"/>
  <c r="R64" i="2"/>
  <c r="R66" i="2" l="1"/>
  <c r="R68" i="2" s="1"/>
  <c r="R70" i="2" s="1"/>
  <c r="T64" i="2"/>
  <c r="R72" i="2"/>
  <c r="T66" i="2" l="1"/>
  <c r="V64" i="2"/>
  <c r="V66" i="2" l="1"/>
  <c r="X64" i="2"/>
  <c r="X66" i="2" l="1"/>
  <c r="Z64" i="2"/>
  <c r="AB64" i="2" l="1"/>
  <c r="Z66" i="2"/>
  <c r="AD64" i="2" l="1"/>
  <c r="AB66" i="2"/>
  <c r="AH64" i="2" l="1"/>
  <c r="AD66" i="2"/>
  <c r="AJ64" i="2" l="1"/>
  <c r="AH66" i="2"/>
  <c r="AL64" i="2" l="1"/>
  <c r="AJ66" i="2"/>
  <c r="AN64" i="2" l="1"/>
  <c r="AL66" i="2"/>
  <c r="AN66" i="2" l="1"/>
  <c r="AP64" i="2"/>
  <c r="AP66" i="2" l="1"/>
  <c r="AR64" i="2"/>
  <c r="AR66" i="2" l="1"/>
  <c r="AT64" i="2"/>
  <c r="AT66" i="2" l="1"/>
  <c r="AV64" i="2"/>
  <c r="AV66" i="2" l="1"/>
  <c r="AX64" i="2"/>
  <c r="AX66" i="2" l="1"/>
  <c r="AZ64" i="2"/>
  <c r="AZ66" i="2" s="1"/>
</calcChain>
</file>

<file path=xl/sharedStrings.xml><?xml version="1.0" encoding="utf-8"?>
<sst xmlns="http://schemas.openxmlformats.org/spreadsheetml/2006/main" count="406" uniqueCount="116">
  <si>
    <t xml:space="preserve">ACUMULADO </t>
  </si>
  <si>
    <t>VALOR TOTAL DE LA INTERVENTORÍA</t>
  </si>
  <si>
    <t>IVA (19%)</t>
  </si>
  <si>
    <t>VALOR BÁSICO (A+B)</t>
  </si>
  <si>
    <t>C</t>
  </si>
  <si>
    <t>Subtotal Otros Costos Directos (B)</t>
  </si>
  <si>
    <t>Unidad</t>
  </si>
  <si>
    <t>Extracción mecanica de nucleos para determinar  densidad y espesor</t>
  </si>
  <si>
    <t xml:space="preserve">Densidad sobre nucleos </t>
  </si>
  <si>
    <t>Peso especifico teorico máximo (RICE)</t>
  </si>
  <si>
    <t>Elaboración de briquetas Marshal: densidad, estabilidad y flujo</t>
  </si>
  <si>
    <t>Contenido de asfalto</t>
  </si>
  <si>
    <t>Resistencia a la compresión de cilindros de concreto (método normal)</t>
  </si>
  <si>
    <t>CBR laboratorio remodelado y sumergido suelos granulares (no inlcuye proctor)</t>
  </si>
  <si>
    <t>Proctor Modificado</t>
  </si>
  <si>
    <t>Partículas Deleznables</t>
  </si>
  <si>
    <t>Desgaste en la máquina de los ángeles en seco a 100, 500 o 1000 rev</t>
  </si>
  <si>
    <t>Granulometría por tamizado con lavado sobre tamiz No 200</t>
  </si>
  <si>
    <t>Ensayos de laboratorio: Límites de Atterberg, granulometría, CBR, compresión simple, entre otros que se soliciten por parte de la Entidad. (Se pagan contra factura y resultados)</t>
  </si>
  <si>
    <t>3.11</t>
  </si>
  <si>
    <t>Día-mes</t>
  </si>
  <si>
    <t>Comisión de Topografía, (incluye personal y equipo). Comisión de topografía para localización, trazado y replanteo con equipo de precisión con estación total, topógrafo, 2 cadeneros, obrero; incluye demarcación, pintura línea de trazado, memorias de cálculo, copia de carteras, también transporte, salarios, prestaciones sociales, imprevistos y utilidades. Se paga por dia efectivamente utilizado .</t>
  </si>
  <si>
    <t>3.10</t>
  </si>
  <si>
    <t>Oficina de campo (alquiler y pago de servicios públicos) incluye dotación.</t>
  </si>
  <si>
    <t>3.9</t>
  </si>
  <si>
    <t>Impresora oficina (Alquiler)</t>
  </si>
  <si>
    <t>3.8</t>
  </si>
  <si>
    <t>Tarifa alquiler de equipo de oficina  para uso del proyecto No. 1: 1 equipo de cómputo, muebles y enseres de oficina</t>
  </si>
  <si>
    <t>3.7</t>
  </si>
  <si>
    <t>Comunicaciones (Teléfono, Fax, Celular, Internet, Etc.) mensual</t>
  </si>
  <si>
    <t>3.5</t>
  </si>
  <si>
    <t>Fotocopias, edición informes, registros fotográficos entre otros</t>
  </si>
  <si>
    <t>3.4</t>
  </si>
  <si>
    <t>Moto Alquiler modelo 2015 o superior - tarifa de alquiler</t>
  </si>
  <si>
    <t>3.2</t>
  </si>
  <si>
    <t>Vehículo doble tracción, doble cabina, 2400 CC o superior (modelo 2015 o superior)  tarifa de alquiler tiempo completo, incluye combustible, incluye conductor. Se debe garantizar permanencia de los vehículos durante toda la ejecución del proyecto.</t>
  </si>
  <si>
    <t>3.1</t>
  </si>
  <si>
    <t>VALOR PARCIAL</t>
  </si>
  <si>
    <t>DURACION (Meses)</t>
  </si>
  <si>
    <t>CANT</t>
  </si>
  <si>
    <t>VALOR TOTAL</t>
  </si>
  <si>
    <t>DEDICACIÓN</t>
  </si>
  <si>
    <t>VALOR</t>
  </si>
  <si>
    <t>UNIDAD</t>
  </si>
  <si>
    <t>DESCRIPCIÓN</t>
  </si>
  <si>
    <t>ÍTEM</t>
  </si>
  <si>
    <t>Gastos de Transporte, Alquiler de Equipos y otros:</t>
  </si>
  <si>
    <t xml:space="preserve">OTROS  COSTOS DIRECTOS </t>
  </si>
  <si>
    <t>B</t>
  </si>
  <si>
    <t>TOTAL COSTOS DIRECTOS DE PERSONAL (A)</t>
  </si>
  <si>
    <t>no modificar</t>
  </si>
  <si>
    <t>Gastos de Viajes Tecnólogo obras civiles</t>
  </si>
  <si>
    <t>Gastos de Viaje Social</t>
  </si>
  <si>
    <t>Gastos de Viaje Ambiental y SISO (Durante el tiempo de licencias y permisos)</t>
  </si>
  <si>
    <t>Gastos de Viaje Ambiental y SISO</t>
  </si>
  <si>
    <t>Gastos de Viaje Residente Auxiliar</t>
  </si>
  <si>
    <t>Gastos de Viaje Residente</t>
  </si>
  <si>
    <t>Gastos del especialista</t>
  </si>
  <si>
    <t>Gastos de Viaje Director</t>
  </si>
  <si>
    <t>Prima de localización para personal en obra</t>
  </si>
  <si>
    <t>COSTOS DE PERSONAL CON FM</t>
  </si>
  <si>
    <t>Factor Multiplicador (FM)</t>
  </si>
  <si>
    <t>Subtotal</t>
  </si>
  <si>
    <t>SUBTOTAL COSTOS DE PERSONAL</t>
  </si>
  <si>
    <t>Persona</t>
  </si>
  <si>
    <t>Mensajero</t>
  </si>
  <si>
    <t>2.2</t>
  </si>
  <si>
    <t>Secretaria</t>
  </si>
  <si>
    <t>2.1</t>
  </si>
  <si>
    <t>Personal Técnico No Profesional</t>
  </si>
  <si>
    <t>Asesor jurídico (Abogado)</t>
  </si>
  <si>
    <t>1.8</t>
  </si>
  <si>
    <t>Asesor contable y tributario</t>
  </si>
  <si>
    <t>1.7</t>
  </si>
  <si>
    <t xml:space="preserve">Tecnólogo en Construcciones Civiles </t>
  </si>
  <si>
    <t>1.6</t>
  </si>
  <si>
    <t>Profesional Social</t>
  </si>
  <si>
    <t>1.5</t>
  </si>
  <si>
    <t>Profesional Ambiental y SISO (Tiempo de licencias y permisos)</t>
  </si>
  <si>
    <t>Profesional Ambiental y SISO</t>
  </si>
  <si>
    <t>1.4</t>
  </si>
  <si>
    <t>Profesional Residente Auxiliar</t>
  </si>
  <si>
    <t>Profesional Residente de Interventoría</t>
  </si>
  <si>
    <t>1.3</t>
  </si>
  <si>
    <t>Especialista en Geotecnia vial y pavimentos</t>
  </si>
  <si>
    <t>1.2</t>
  </si>
  <si>
    <t>Director de Interventoría (Plazo licencias y permisos)</t>
  </si>
  <si>
    <t>Director de Interventoría</t>
  </si>
  <si>
    <t>1.1</t>
  </si>
  <si>
    <t>Personal Profesional:</t>
  </si>
  <si>
    <t>COSTOS DIRECTOS DE PERSONAL</t>
  </si>
  <si>
    <t>A</t>
  </si>
  <si>
    <t>($)</t>
  </si>
  <si>
    <t>(meses)</t>
  </si>
  <si>
    <t>(h-mes)</t>
  </si>
  <si>
    <t>MENSUAL</t>
  </si>
  <si>
    <t>PARCIAL</t>
  </si>
  <si>
    <t>TOTAL</t>
  </si>
  <si>
    <t>O TARIFA</t>
  </si>
  <si>
    <t>DURACIÓN</t>
  </si>
  <si>
    <t>POSIBLE AMPLIACION</t>
  </si>
  <si>
    <t>SUELDO</t>
  </si>
  <si>
    <t>SALDO</t>
  </si>
  <si>
    <t>DATOS CONTRACTUALES</t>
  </si>
  <si>
    <t>ITEM</t>
  </si>
  <si>
    <t>GOBERNACIÓN DE ANTIOQUIA</t>
  </si>
  <si>
    <t>SECRETARÍA DE INFRAESTRUCTURA FÍSICA</t>
  </si>
  <si>
    <t>SUELDO O TARIFA MENSUAL</t>
  </si>
  <si>
    <t>DEDICACIÓN MENSUAL (h-mes)</t>
  </si>
  <si>
    <t>VALOR PARCIAL ($)</t>
  </si>
  <si>
    <t>DURACIÓN TOTAL (meses)</t>
  </si>
  <si>
    <t>LUCY MATILDE BERNAL LEON</t>
  </si>
  <si>
    <t>DIRECTOR DE INTERVENTORIA</t>
  </si>
  <si>
    <t>CONSORCIO V&amp;P10635</t>
  </si>
  <si>
    <t>CONTRATO No. 4600010762 de2020 INTERVENTORIA TECNICA, ADMINISTRATIVA, AMBIENTAL, FINANCIERA Y LEGAL PARA EL MEJORAMIENTO DE LA VIA PASO NIVEL (RUTA60) – YE AMAGA – LA CLARITA – ANGELOPOLIS EN LOS MUNICIPIOS DE AMAGA Y ANGELOPOLIS DEL DEPARTAMENTO DE ANTIOQUIA.</t>
  </si>
  <si>
    <t>PRESUPUESTO ADICIÓN No. 2 Y PRORROGA No,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</si>
</sst>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??_);_(@_)"/>
    <numFmt numFmtId="165" formatCode="0.00000"/>
    <numFmt numFmtId="166" formatCode="_ &quot;$&quot;\ * #,##0_ ;_ &quot;$&quot;\ * \-#,##0_ ;_ &quot;$&quot;\ * &quot;-&quot;??_ ;_ @_ "/>
    <numFmt numFmtId="167" formatCode="_ * #,##0.00_ ;_ * \-#,##0.00_ ;_ * &quot;-&quot;??_ ;_ @_ "/>
    <numFmt numFmtId="168" formatCode="_ * #,##0_ ;_ * \-#,##0_ ;_ * &quot;-&quot;??_ ;_ @_ "/>
    <numFmt numFmtId="169" formatCode="#,##0.0"/>
    <numFmt numFmtId="170" formatCode="0.0"/>
    <numFmt numFmtId="171" formatCode="0.000"/>
    <numFmt numFmtId="172" formatCode="&quot;$&quot;\ #,##0.00"/>
    <numFmt numFmtId="173" formatCode="_-&quot;$&quot;\ * #,##0_-;\-&quot;$&quot;\ * #,##0_-;_-&quot;$&quot;\ * &quot;-&quot;??_-;_-@_-"/>
    <numFmt numFmtId="174" formatCode="_ &quot;$&quot;\ * #,##0.00_ ;_ &quot;$&quot;\ * \-#,##0.00_ ;_ &quot;$&quot;\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u/>
      <sz val="12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3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10" fontId="3" fillId="0" borderId="0" xfId="1" applyNumberFormat="1" applyFont="1" applyAlignment="1">
      <alignment vertical="center"/>
    </xf>
    <xf numFmtId="165" fontId="3" fillId="0" borderId="0" xfId="2" applyNumberFormat="1" applyFont="1" applyAlignment="1">
      <alignment vertical="center"/>
    </xf>
    <xf numFmtId="10" fontId="4" fillId="0" borderId="0" xfId="2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 wrapText="1"/>
    </xf>
    <xf numFmtId="3" fontId="5" fillId="0" borderId="0" xfId="2" applyNumberFormat="1" applyFont="1" applyAlignment="1">
      <alignment vertical="center" wrapText="1"/>
    </xf>
    <xf numFmtId="3" fontId="6" fillId="0" borderId="1" xfId="2" applyNumberFormat="1" applyFont="1" applyBorder="1" applyAlignment="1">
      <alignment vertical="center" wrapText="1"/>
    </xf>
    <xf numFmtId="167" fontId="6" fillId="0" borderId="2" xfId="3" applyNumberFormat="1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4" fontId="6" fillId="0" borderId="4" xfId="2" applyNumberFormat="1" applyFont="1" applyBorder="1" applyAlignment="1">
      <alignment vertical="center" wrapText="1"/>
    </xf>
    <xf numFmtId="3" fontId="6" fillId="0" borderId="5" xfId="2" applyNumberFormat="1" applyFont="1" applyBorder="1" applyAlignment="1">
      <alignment vertical="center" wrapText="1"/>
    </xf>
    <xf numFmtId="166" fontId="6" fillId="0" borderId="6" xfId="2" applyNumberFormat="1" applyFont="1" applyBorder="1" applyAlignment="1">
      <alignment vertical="center" wrapText="1"/>
    </xf>
    <xf numFmtId="0" fontId="7" fillId="0" borderId="2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6" fillId="0" borderId="7" xfId="2" applyFont="1" applyBorder="1" applyAlignment="1">
      <alignment vertical="center" wrapText="1"/>
    </xf>
    <xf numFmtId="0" fontId="7" fillId="0" borderId="7" xfId="2" applyFont="1" applyBorder="1" applyAlignment="1">
      <alignment horizontal="center" vertical="center" wrapText="1"/>
    </xf>
    <xf numFmtId="3" fontId="6" fillId="0" borderId="8" xfId="3" applyNumberFormat="1" applyFont="1" applyFill="1" applyBorder="1" applyAlignment="1">
      <alignment vertical="center" wrapText="1"/>
    </xf>
    <xf numFmtId="167" fontId="6" fillId="0" borderId="9" xfId="3" applyNumberFormat="1" applyFont="1" applyBorder="1" applyAlignment="1">
      <alignment vertical="center" wrapText="1"/>
    </xf>
    <xf numFmtId="0" fontId="7" fillId="0" borderId="10" xfId="2" applyFont="1" applyBorder="1" applyAlignment="1">
      <alignment horizontal="center" vertical="center" wrapText="1"/>
    </xf>
    <xf numFmtId="3" fontId="6" fillId="0" borderId="11" xfId="3" applyNumberFormat="1" applyFont="1" applyFill="1" applyBorder="1" applyAlignment="1">
      <alignment vertical="center" wrapText="1"/>
    </xf>
    <xf numFmtId="0" fontId="6" fillId="0" borderId="12" xfId="2" applyFont="1" applyBorder="1" applyAlignment="1">
      <alignment horizontal="center" vertical="center" wrapText="1"/>
    </xf>
    <xf numFmtId="4" fontId="6" fillId="0" borderId="11" xfId="3" applyNumberFormat="1" applyFont="1" applyFill="1" applyBorder="1" applyAlignment="1">
      <alignment vertical="center" wrapText="1"/>
    </xf>
    <xf numFmtId="3" fontId="6" fillId="0" borderId="12" xfId="3" applyNumberFormat="1" applyFont="1" applyFill="1" applyBorder="1" applyAlignment="1">
      <alignment vertical="center" wrapText="1"/>
    </xf>
    <xf numFmtId="166" fontId="6" fillId="0" borderId="13" xfId="2" applyNumberFormat="1" applyFont="1" applyBorder="1" applyAlignment="1">
      <alignment vertical="center" wrapText="1"/>
    </xf>
    <xf numFmtId="2" fontId="6" fillId="0" borderId="9" xfId="2" applyNumberFormat="1" applyFont="1" applyBorder="1" applyAlignment="1">
      <alignment horizontal="center" vertical="center" wrapText="1"/>
    </xf>
    <xf numFmtId="4" fontId="6" fillId="0" borderId="12" xfId="2" applyNumberFormat="1" applyFont="1" applyBorder="1" applyAlignment="1">
      <alignment horizontal="center" vertical="center" wrapText="1"/>
    </xf>
    <xf numFmtId="3" fontId="6" fillId="0" borderId="12" xfId="2" applyNumberFormat="1" applyFont="1" applyBorder="1" applyAlignment="1">
      <alignment horizontal="center" vertical="center" wrapText="1"/>
    </xf>
    <xf numFmtId="0" fontId="6" fillId="0" borderId="12" xfId="2" applyFont="1" applyBorder="1" applyAlignment="1">
      <alignment vertical="center" wrapText="1"/>
    </xf>
    <xf numFmtId="0" fontId="6" fillId="0" borderId="14" xfId="2" applyFont="1" applyBorder="1" applyAlignment="1">
      <alignment vertical="center" wrapText="1"/>
    </xf>
    <xf numFmtId="0" fontId="7" fillId="0" borderId="15" xfId="2" applyFont="1" applyBorder="1" applyAlignment="1">
      <alignment horizontal="center" vertical="center" wrapText="1"/>
    </xf>
    <xf numFmtId="3" fontId="6" fillId="0" borderId="16" xfId="2" applyNumberFormat="1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0" borderId="17" xfId="2" applyFont="1" applyBorder="1" applyAlignment="1">
      <alignment vertical="center" wrapText="1"/>
    </xf>
    <xf numFmtId="3" fontId="6" fillId="0" borderId="0" xfId="2" applyNumberFormat="1" applyFont="1" applyAlignment="1">
      <alignment vertical="center" wrapText="1"/>
    </xf>
    <xf numFmtId="2" fontId="6" fillId="0" borderId="0" xfId="2" applyNumberFormat="1" applyFont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6" fillId="0" borderId="17" xfId="2" applyFont="1" applyBorder="1" applyAlignment="1">
      <alignment vertical="center" wrapText="1"/>
    </xf>
    <xf numFmtId="0" fontId="7" fillId="0" borderId="17" xfId="2" applyFont="1" applyBorder="1" applyAlignment="1">
      <alignment horizontal="center" vertical="center" wrapText="1"/>
    </xf>
    <xf numFmtId="3" fontId="6" fillId="0" borderId="8" xfId="2" applyNumberFormat="1" applyFont="1" applyBorder="1" applyAlignment="1">
      <alignment vertical="center" wrapText="1"/>
    </xf>
    <xf numFmtId="3" fontId="6" fillId="0" borderId="14" xfId="2" applyNumberFormat="1" applyFont="1" applyBorder="1" applyAlignment="1">
      <alignment vertical="center" wrapText="1"/>
    </xf>
    <xf numFmtId="3" fontId="6" fillId="0" borderId="11" xfId="2" applyNumberFormat="1" applyFont="1" applyBorder="1" applyAlignment="1">
      <alignment vertical="center" wrapText="1"/>
    </xf>
    <xf numFmtId="0" fontId="7" fillId="0" borderId="13" xfId="2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3" fontId="7" fillId="0" borderId="16" xfId="2" applyNumberFormat="1" applyFont="1" applyBorder="1" applyAlignment="1">
      <alignment vertical="center" wrapText="1"/>
    </xf>
    <xf numFmtId="3" fontId="7" fillId="0" borderId="0" xfId="2" applyNumberFormat="1" applyFont="1" applyAlignment="1">
      <alignment vertical="center" wrapText="1"/>
    </xf>
    <xf numFmtId="2" fontId="7" fillId="0" borderId="0" xfId="2" applyNumberFormat="1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168" fontId="7" fillId="0" borderId="18" xfId="3" applyNumberFormat="1" applyFont="1" applyFill="1" applyBorder="1" applyAlignment="1">
      <alignment horizontal="right" vertical="center" wrapText="1"/>
    </xf>
    <xf numFmtId="3" fontId="7" fillId="0" borderId="8" xfId="2" applyNumberFormat="1" applyFont="1" applyBorder="1" applyAlignment="1">
      <alignment horizontal="right" vertical="center" wrapText="1"/>
    </xf>
    <xf numFmtId="2" fontId="7" fillId="0" borderId="10" xfId="2" applyNumberFormat="1" applyFont="1" applyBorder="1" applyAlignment="1">
      <alignment horizontal="center" vertical="center" wrapText="1"/>
    </xf>
    <xf numFmtId="3" fontId="7" fillId="0" borderId="11" xfId="3" applyNumberFormat="1" applyFont="1" applyFill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167" fontId="7" fillId="0" borderId="19" xfId="3" applyNumberFormat="1" applyFont="1" applyFill="1" applyBorder="1" applyAlignment="1">
      <alignment horizontal="right" vertical="center" wrapText="1"/>
    </xf>
    <xf numFmtId="3" fontId="7" fillId="0" borderId="11" xfId="2" applyNumberFormat="1" applyFont="1" applyBorder="1" applyAlignment="1">
      <alignment horizontal="right" vertical="center" wrapText="1"/>
    </xf>
    <xf numFmtId="0" fontId="7" fillId="0" borderId="20" xfId="4" applyFont="1" applyFill="1" applyBorder="1" applyAlignment="1">
      <alignment horizontal="center" vertical="center" wrapText="1"/>
    </xf>
    <xf numFmtId="3" fontId="7" fillId="0" borderId="21" xfId="2" applyNumberFormat="1" applyFont="1" applyBorder="1" applyAlignment="1">
      <alignment horizontal="right" vertical="center" wrapText="1"/>
    </xf>
    <xf numFmtId="168" fontId="7" fillId="0" borderId="21" xfId="3" applyNumberFormat="1" applyFont="1" applyFill="1" applyBorder="1" applyAlignment="1">
      <alignment horizontal="right" vertical="center" wrapText="1"/>
    </xf>
    <xf numFmtId="166" fontId="7" fillId="0" borderId="13" xfId="2" applyNumberFormat="1" applyFont="1" applyBorder="1" applyAlignment="1">
      <alignment vertical="center" wrapText="1"/>
    </xf>
    <xf numFmtId="169" fontId="7" fillId="0" borderId="9" xfId="2" applyNumberFormat="1" applyFont="1" applyFill="1" applyBorder="1" applyAlignment="1">
      <alignment horizontal="center" vertical="center" wrapText="1"/>
    </xf>
    <xf numFmtId="170" fontId="7" fillId="0" borderId="12" xfId="4" applyNumberFormat="1" applyFont="1" applyFill="1" applyBorder="1" applyAlignment="1">
      <alignment horizontal="center" vertical="center" wrapText="1"/>
    </xf>
    <xf numFmtId="166" fontId="7" fillId="0" borderId="12" xfId="2" applyNumberFormat="1" applyFont="1" applyBorder="1" applyAlignment="1">
      <alignment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22" xfId="2" applyFont="1" applyBorder="1" applyAlignment="1">
      <alignment vertical="center" wrapText="1"/>
    </xf>
    <xf numFmtId="169" fontId="7" fillId="0" borderId="13" xfId="2" applyNumberFormat="1" applyFont="1" applyFill="1" applyBorder="1" applyAlignment="1">
      <alignment horizontal="center" vertical="center" wrapText="1"/>
    </xf>
    <xf numFmtId="170" fontId="7" fillId="0" borderId="13" xfId="4" applyNumberFormat="1" applyFont="1" applyFill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 wrapText="1"/>
    </xf>
    <xf numFmtId="0" fontId="7" fillId="0" borderId="23" xfId="2" applyFont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166" fontId="7" fillId="0" borderId="13" xfId="2" applyNumberFormat="1" applyFont="1" applyFill="1" applyBorder="1" applyAlignment="1">
      <alignment vertical="center" wrapText="1"/>
    </xf>
    <xf numFmtId="0" fontId="7" fillId="0" borderId="23" xfId="2" applyFont="1" applyFill="1" applyBorder="1" applyAlignment="1">
      <alignment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center" vertical="center" wrapText="1"/>
    </xf>
    <xf numFmtId="169" fontId="7" fillId="0" borderId="21" xfId="2" applyNumberFormat="1" applyFont="1" applyBorder="1" applyAlignment="1">
      <alignment horizontal="right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justify" vertical="center" wrapText="1"/>
    </xf>
    <xf numFmtId="166" fontId="7" fillId="0" borderId="20" xfId="2" applyNumberFormat="1" applyFont="1" applyFill="1" applyBorder="1" applyAlignment="1">
      <alignment vertical="center" wrapText="1"/>
    </xf>
    <xf numFmtId="169" fontId="7" fillId="0" borderId="20" xfId="2" applyNumberFormat="1" applyFont="1" applyFill="1" applyBorder="1" applyAlignment="1">
      <alignment horizontal="center" vertical="center" wrapText="1"/>
    </xf>
    <xf numFmtId="170" fontId="7" fillId="0" borderId="20" xfId="4" applyNumberFormat="1" applyFont="1" applyFill="1" applyBorder="1" applyAlignment="1">
      <alignment horizontal="center" vertical="center" wrapText="1"/>
    </xf>
    <xf numFmtId="0" fontId="7" fillId="0" borderId="20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justify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3" fontId="6" fillId="3" borderId="24" xfId="2" applyNumberFormat="1" applyFont="1" applyFill="1" applyBorder="1" applyAlignment="1">
      <alignment horizontal="center" vertical="center" wrapText="1"/>
    </xf>
    <xf numFmtId="3" fontId="6" fillId="3" borderId="25" xfId="2" applyNumberFormat="1" applyFont="1" applyFill="1" applyBorder="1" applyAlignment="1">
      <alignment horizontal="center" vertical="center" wrapText="1"/>
    </xf>
    <xf numFmtId="3" fontId="6" fillId="3" borderId="26" xfId="2" applyNumberFormat="1" applyFont="1" applyFill="1" applyBorder="1" applyAlignment="1">
      <alignment horizontal="center" vertical="center" wrapText="1"/>
    </xf>
    <xf numFmtId="3" fontId="6" fillId="3" borderId="27" xfId="2" applyNumberFormat="1" applyFont="1" applyFill="1" applyBorder="1" applyAlignment="1">
      <alignment horizontal="center" vertical="center" wrapText="1"/>
    </xf>
    <xf numFmtId="166" fontId="6" fillId="3" borderId="28" xfId="2" applyNumberFormat="1" applyFont="1" applyFill="1" applyBorder="1" applyAlignment="1">
      <alignment horizontal="center" vertical="center" wrapText="1"/>
    </xf>
    <xf numFmtId="166" fontId="6" fillId="3" borderId="29" xfId="2" applyNumberFormat="1" applyFont="1" applyFill="1" applyBorder="1" applyAlignment="1">
      <alignment horizontal="center" vertical="center" wrapText="1"/>
    </xf>
    <xf numFmtId="168" fontId="6" fillId="0" borderId="30" xfId="3" applyNumberFormat="1" applyFont="1" applyFill="1" applyBorder="1" applyAlignment="1">
      <alignment horizontal="right" vertical="center" wrapText="1"/>
    </xf>
    <xf numFmtId="167" fontId="7" fillId="0" borderId="31" xfId="3" applyNumberFormat="1" applyFont="1" applyFill="1" applyBorder="1" applyAlignment="1">
      <alignment horizontal="right" vertical="center" wrapText="1"/>
    </xf>
    <xf numFmtId="3" fontId="6" fillId="0" borderId="32" xfId="2" applyNumberFormat="1" applyFont="1" applyBorder="1" applyAlignment="1">
      <alignment horizontal="right" vertical="center" wrapText="1"/>
    </xf>
    <xf numFmtId="2" fontId="7" fillId="0" borderId="33" xfId="2" applyNumberFormat="1" applyFont="1" applyBorder="1" applyAlignment="1">
      <alignment horizontal="center" vertical="center" wrapText="1"/>
    </xf>
    <xf numFmtId="168" fontId="6" fillId="0" borderId="34" xfId="3" applyNumberFormat="1" applyFont="1" applyFill="1" applyBorder="1" applyAlignment="1">
      <alignment horizontal="right" vertical="center" wrapText="1"/>
    </xf>
    <xf numFmtId="3" fontId="7" fillId="0" borderId="31" xfId="2" applyNumberFormat="1" applyFont="1" applyBorder="1" applyAlignment="1">
      <alignment horizontal="center" vertical="center" wrapText="1"/>
    </xf>
    <xf numFmtId="168" fontId="6" fillId="0" borderId="0" xfId="3" applyNumberFormat="1" applyFont="1" applyFill="1" applyBorder="1" applyAlignment="1">
      <alignment horizontal="right" vertical="center" wrapText="1"/>
    </xf>
    <xf numFmtId="3" fontId="6" fillId="0" borderId="35" xfId="3" applyNumberFormat="1" applyFont="1" applyFill="1" applyBorder="1" applyAlignment="1">
      <alignment horizontal="right" vertical="center" wrapText="1"/>
    </xf>
    <xf numFmtId="169" fontId="7" fillId="0" borderId="35" xfId="2" applyNumberFormat="1" applyFont="1" applyBorder="1" applyAlignment="1">
      <alignment horizontal="center" vertical="center" wrapText="1"/>
    </xf>
    <xf numFmtId="166" fontId="7" fillId="0" borderId="35" xfId="2" applyNumberFormat="1" applyFont="1" applyBorder="1" applyAlignment="1">
      <alignment vertical="center" wrapText="1"/>
    </xf>
    <xf numFmtId="169" fontId="7" fillId="0" borderId="36" xfId="2" applyNumberFormat="1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17" xfId="2" applyFont="1" applyBorder="1" applyAlignment="1">
      <alignment vertical="center"/>
    </xf>
    <xf numFmtId="0" fontId="7" fillId="2" borderId="15" xfId="2" applyFont="1" applyFill="1" applyBorder="1" applyAlignment="1">
      <alignment horizontal="center" vertical="center" wrapText="1"/>
    </xf>
    <xf numFmtId="168" fontId="6" fillId="0" borderId="37" xfId="3" applyNumberFormat="1" applyFont="1" applyFill="1" applyBorder="1" applyAlignment="1">
      <alignment horizontal="right" vertical="center" wrapText="1"/>
    </xf>
    <xf numFmtId="167" fontId="7" fillId="0" borderId="38" xfId="3" applyNumberFormat="1" applyFont="1" applyFill="1" applyBorder="1" applyAlignment="1">
      <alignment horizontal="right" vertical="center" wrapText="1"/>
    </xf>
    <xf numFmtId="3" fontId="6" fillId="0" borderId="37" xfId="2" applyNumberFormat="1" applyFont="1" applyBorder="1" applyAlignment="1">
      <alignment horizontal="right" vertical="center" wrapText="1"/>
    </xf>
    <xf numFmtId="2" fontId="7" fillId="0" borderId="22" xfId="2" applyNumberFormat="1" applyFont="1" applyBorder="1" applyAlignment="1">
      <alignment horizontal="center" vertical="center" wrapText="1"/>
    </xf>
    <xf numFmtId="168" fontId="6" fillId="0" borderId="38" xfId="3" applyNumberFormat="1" applyFont="1" applyFill="1" applyBorder="1" applyAlignment="1">
      <alignment horizontal="right" vertical="center" wrapText="1"/>
    </xf>
    <xf numFmtId="3" fontId="7" fillId="0" borderId="38" xfId="2" applyNumberFormat="1" applyFont="1" applyBorder="1" applyAlignment="1">
      <alignment horizontal="center" vertical="center" wrapText="1"/>
    </xf>
    <xf numFmtId="3" fontId="6" fillId="0" borderId="38" xfId="3" applyNumberFormat="1" applyFont="1" applyFill="1" applyBorder="1" applyAlignment="1">
      <alignment horizontal="right" vertical="center" wrapText="1"/>
    </xf>
    <xf numFmtId="169" fontId="7" fillId="0" borderId="38" xfId="2" applyNumberFormat="1" applyFont="1" applyBorder="1" applyAlignment="1">
      <alignment horizontal="center" vertical="center" wrapText="1"/>
    </xf>
    <xf numFmtId="166" fontId="7" fillId="0" borderId="38" xfId="2" applyNumberFormat="1" applyFont="1" applyBorder="1" applyAlignment="1">
      <alignment vertical="center" wrapText="1"/>
    </xf>
    <xf numFmtId="0" fontId="8" fillId="0" borderId="38" xfId="2" applyFont="1" applyBorder="1" applyAlignment="1">
      <alignment horizontal="center" vertical="center"/>
    </xf>
    <xf numFmtId="0" fontId="6" fillId="0" borderId="38" xfId="2" applyFont="1" applyBorder="1" applyAlignment="1">
      <alignment vertical="center"/>
    </xf>
    <xf numFmtId="0" fontId="6" fillId="0" borderId="22" xfId="2" applyFont="1" applyBorder="1" applyAlignment="1">
      <alignment vertical="center"/>
    </xf>
    <xf numFmtId="0" fontId="2" fillId="0" borderId="0" xfId="2"/>
    <xf numFmtId="3" fontId="6" fillId="0" borderId="1" xfId="2" applyNumberFormat="1" applyFont="1" applyBorder="1" applyAlignment="1">
      <alignment horizontal="right" vertical="center" wrapText="1"/>
    </xf>
    <xf numFmtId="4" fontId="7" fillId="0" borderId="5" xfId="5" applyNumberFormat="1" applyFont="1" applyFill="1" applyBorder="1" applyAlignment="1" applyProtection="1">
      <alignment vertical="center" wrapText="1"/>
    </xf>
    <xf numFmtId="0" fontId="6" fillId="0" borderId="39" xfId="2" applyFont="1" applyBorder="1" applyAlignment="1">
      <alignment vertical="center" wrapText="1"/>
    </xf>
    <xf numFmtId="3" fontId="6" fillId="0" borderId="4" xfId="2" applyNumberFormat="1" applyFont="1" applyBorder="1" applyAlignment="1">
      <alignment horizontal="right" vertical="center" wrapText="1"/>
    </xf>
    <xf numFmtId="0" fontId="7" fillId="0" borderId="6" xfId="2" applyFont="1" applyBorder="1" applyAlignment="1">
      <alignment vertical="center" wrapText="1"/>
    </xf>
    <xf numFmtId="3" fontId="6" fillId="0" borderId="4" xfId="2" applyNumberFormat="1" applyFont="1" applyFill="1" applyBorder="1" applyAlignment="1">
      <alignment horizontal="right" vertical="center" wrapText="1"/>
    </xf>
    <xf numFmtId="0" fontId="7" fillId="0" borderId="6" xfId="2" applyFont="1" applyFill="1" applyBorder="1" applyAlignment="1">
      <alignment vertical="center" wrapText="1"/>
    </xf>
    <xf numFmtId="3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6" fillId="0" borderId="7" xfId="2" applyFont="1" applyBorder="1" applyAlignment="1">
      <alignment horizontal="center" vertical="center" wrapText="1"/>
    </xf>
    <xf numFmtId="4" fontId="7" fillId="0" borderId="12" xfId="2" applyNumberFormat="1" applyFont="1" applyBorder="1" applyAlignment="1">
      <alignment horizontal="center" vertical="center" wrapText="1"/>
    </xf>
    <xf numFmtId="170" fontId="7" fillId="0" borderId="13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right" vertical="center" wrapText="1"/>
    </xf>
    <xf numFmtId="0" fontId="7" fillId="0" borderId="13" xfId="2" applyFont="1" applyBorder="1" applyAlignment="1">
      <alignment horizontal="center" vertical="center" wrapText="1"/>
    </xf>
    <xf numFmtId="0" fontId="8" fillId="0" borderId="9" xfId="2" applyFont="1" applyBorder="1" applyAlignment="1">
      <alignment vertical="center" wrapText="1"/>
    </xf>
    <xf numFmtId="0" fontId="7" fillId="0" borderId="10" xfId="2" applyFont="1" applyBorder="1" applyAlignment="1">
      <alignment horizontal="left" vertical="center"/>
    </xf>
    <xf numFmtId="169" fontId="7" fillId="0" borderId="11" xfId="2" applyNumberFormat="1" applyFont="1" applyBorder="1" applyAlignment="1">
      <alignment horizontal="right" vertical="center" wrapText="1"/>
    </xf>
    <xf numFmtId="3" fontId="7" fillId="0" borderId="11" xfId="2" applyNumberFormat="1" applyFont="1" applyFill="1" applyBorder="1" applyAlignment="1">
      <alignment horizontal="right" vertical="center" wrapText="1"/>
    </xf>
    <xf numFmtId="2" fontId="7" fillId="0" borderId="13" xfId="2" applyNumberFormat="1" applyFont="1" applyBorder="1" applyAlignment="1">
      <alignment horizontal="center" vertical="center" wrapText="1"/>
    </xf>
    <xf numFmtId="3" fontId="6" fillId="0" borderId="8" xfId="5" applyNumberFormat="1" applyFont="1" applyFill="1" applyBorder="1" applyAlignment="1" applyProtection="1">
      <alignment vertical="center" wrapText="1"/>
    </xf>
    <xf numFmtId="4" fontId="7" fillId="0" borderId="12" xfId="5" applyNumberFormat="1" applyFont="1" applyFill="1" applyBorder="1" applyAlignment="1" applyProtection="1">
      <alignment vertical="center" wrapText="1"/>
    </xf>
    <xf numFmtId="3" fontId="6" fillId="0" borderId="11" xfId="5" applyNumberFormat="1" applyFont="1" applyFill="1" applyBorder="1" applyAlignment="1" applyProtection="1">
      <alignment vertical="center" wrapText="1"/>
    </xf>
    <xf numFmtId="3" fontId="6" fillId="0" borderId="13" xfId="5" applyNumberFormat="1" applyFont="1" applyFill="1" applyBorder="1" applyAlignment="1" applyProtection="1">
      <alignment vertical="center" wrapText="1"/>
    </xf>
    <xf numFmtId="1" fontId="6" fillId="0" borderId="19" xfId="2" applyNumberFormat="1" applyFont="1" applyBorder="1" applyAlignment="1">
      <alignment horizontal="center" vertical="center" wrapText="1"/>
    </xf>
    <xf numFmtId="4" fontId="7" fillId="0" borderId="8" xfId="2" applyNumberFormat="1" applyFont="1" applyBorder="1" applyAlignment="1">
      <alignment vertical="center" wrapText="1"/>
    </xf>
    <xf numFmtId="4" fontId="7" fillId="0" borderId="12" xfId="2" applyNumberFormat="1" applyFont="1" applyBorder="1" applyAlignment="1">
      <alignment vertical="center" wrapText="1"/>
    </xf>
    <xf numFmtId="4" fontId="7" fillId="0" borderId="11" xfId="2" applyNumberFormat="1" applyFont="1" applyBorder="1" applyAlignment="1">
      <alignment vertical="center" wrapText="1"/>
    </xf>
    <xf numFmtId="4" fontId="6" fillId="0" borderId="40" xfId="2" applyNumberFormat="1" applyFont="1" applyBorder="1" applyAlignment="1">
      <alignment vertical="center" wrapText="1"/>
    </xf>
    <xf numFmtId="4" fontId="6" fillId="0" borderId="9" xfId="2" applyNumberFormat="1" applyFont="1" applyBorder="1" applyAlignment="1">
      <alignment vertical="center" wrapText="1"/>
    </xf>
    <xf numFmtId="170" fontId="6" fillId="0" borderId="12" xfId="2" applyNumberFormat="1" applyFont="1" applyBorder="1" applyAlignment="1">
      <alignment vertical="center" wrapText="1"/>
    </xf>
    <xf numFmtId="166" fontId="7" fillId="0" borderId="12" xfId="5" applyFont="1" applyFill="1" applyBorder="1" applyAlignment="1" applyProtection="1">
      <alignment horizontal="right" vertical="center" wrapText="1"/>
    </xf>
    <xf numFmtId="170" fontId="6" fillId="0" borderId="11" xfId="2" applyNumberFormat="1" applyFont="1" applyBorder="1" applyAlignment="1">
      <alignment vertical="center" wrapText="1"/>
    </xf>
    <xf numFmtId="4" fontId="6" fillId="0" borderId="12" xfId="2" applyNumberFormat="1" applyFont="1" applyBorder="1" applyAlignment="1">
      <alignment vertical="center" wrapText="1"/>
    </xf>
    <xf numFmtId="170" fontId="6" fillId="0" borderId="10" xfId="2" applyNumberFormat="1" applyFont="1" applyBorder="1" applyAlignment="1">
      <alignment horizontal="right" vertical="center" wrapText="1"/>
    </xf>
    <xf numFmtId="3" fontId="6" fillId="0" borderId="9" xfId="2" applyNumberFormat="1" applyFont="1" applyBorder="1" applyAlignment="1">
      <alignment vertical="center" wrapText="1"/>
    </xf>
    <xf numFmtId="0" fontId="7" fillId="0" borderId="9" xfId="2" applyFont="1" applyBorder="1" applyAlignment="1">
      <alignment vertical="center" wrapText="1"/>
    </xf>
    <xf numFmtId="4" fontId="7" fillId="0" borderId="9" xfId="2" applyNumberFormat="1" applyFont="1" applyBorder="1" applyAlignment="1">
      <alignment horizontal="center" vertical="center" wrapText="1"/>
    </xf>
    <xf numFmtId="0" fontId="6" fillId="0" borderId="13" xfId="2" applyFont="1" applyBorder="1" applyAlignment="1">
      <alignment vertical="center" wrapText="1"/>
    </xf>
    <xf numFmtId="0" fontId="6" fillId="0" borderId="10" xfId="2" applyFont="1" applyBorder="1" applyAlignment="1">
      <alignment vertical="center" wrapText="1"/>
    </xf>
    <xf numFmtId="0" fontId="7" fillId="0" borderId="14" xfId="2" applyFont="1" applyBorder="1" applyAlignment="1">
      <alignment vertical="center" wrapText="1"/>
    </xf>
    <xf numFmtId="0" fontId="7" fillId="0" borderId="10" xfId="2" applyFont="1" applyBorder="1" applyAlignment="1">
      <alignment vertical="center" wrapText="1"/>
    </xf>
    <xf numFmtId="4" fontId="7" fillId="0" borderId="8" xfId="2" applyNumberFormat="1" applyFont="1" applyBorder="1" applyAlignment="1">
      <alignment horizontal="right" vertical="center" wrapText="1"/>
    </xf>
    <xf numFmtId="4" fontId="7" fillId="0" borderId="12" xfId="2" applyNumberFormat="1" applyFont="1" applyBorder="1" applyAlignment="1">
      <alignment horizontal="right" vertical="center" wrapText="1"/>
    </xf>
    <xf numFmtId="3" fontId="6" fillId="0" borderId="11" xfId="2" applyNumberFormat="1" applyFont="1" applyBorder="1" applyAlignment="1">
      <alignment horizontal="right" vertical="center" wrapText="1"/>
    </xf>
    <xf numFmtId="4" fontId="7" fillId="0" borderId="13" xfId="2" applyNumberFormat="1" applyFont="1" applyBorder="1" applyAlignment="1">
      <alignment vertical="center" wrapText="1"/>
    </xf>
    <xf numFmtId="2" fontId="7" fillId="0" borderId="11" xfId="2" applyNumberFormat="1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6" fillId="0" borderId="42" xfId="2" applyFont="1" applyBorder="1" applyAlignment="1">
      <alignment vertical="center" wrapText="1"/>
    </xf>
    <xf numFmtId="0" fontId="6" fillId="0" borderId="43" xfId="2" applyFont="1" applyBorder="1" applyAlignment="1">
      <alignment vertical="center" wrapText="1"/>
    </xf>
    <xf numFmtId="0" fontId="6" fillId="0" borderId="44" xfId="2" applyFont="1" applyBorder="1" applyAlignment="1">
      <alignment vertical="center" wrapText="1"/>
    </xf>
    <xf numFmtId="0" fontId="6" fillId="0" borderId="45" xfId="2" applyFont="1" applyBorder="1" applyAlignment="1">
      <alignment vertical="center" wrapText="1"/>
    </xf>
    <xf numFmtId="16" fontId="6" fillId="0" borderId="45" xfId="2" applyNumberFormat="1" applyFont="1" applyBorder="1" applyAlignment="1">
      <alignment vertical="center" wrapText="1"/>
    </xf>
    <xf numFmtId="171" fontId="6" fillId="0" borderId="45" xfId="2" applyNumberFormat="1" applyFont="1" applyBorder="1" applyAlignment="1">
      <alignment vertical="center" wrapText="1"/>
    </xf>
    <xf numFmtId="0" fontId="6" fillId="0" borderId="46" xfId="2" applyFont="1" applyBorder="1" applyAlignment="1">
      <alignment vertical="center" wrapText="1"/>
    </xf>
    <xf numFmtId="0" fontId="6" fillId="0" borderId="47" xfId="2" applyFont="1" applyBorder="1" applyAlignment="1">
      <alignment horizontal="center" vertical="center" wrapText="1"/>
    </xf>
    <xf numFmtId="3" fontId="6" fillId="0" borderId="49" xfId="2" applyNumberFormat="1" applyFont="1" applyBorder="1" applyAlignment="1">
      <alignment horizontal="center" vertical="center" wrapText="1"/>
    </xf>
    <xf numFmtId="3" fontId="6" fillId="0" borderId="48" xfId="2" applyNumberFormat="1" applyFont="1" applyBorder="1" applyAlignment="1">
      <alignment horizontal="center" vertical="center" wrapText="1"/>
    </xf>
    <xf numFmtId="3" fontId="6" fillId="0" borderId="16" xfId="2" applyNumberFormat="1" applyFont="1" applyBorder="1" applyAlignment="1">
      <alignment horizontal="center" vertical="center" wrapText="1"/>
    </xf>
    <xf numFmtId="3" fontId="6" fillId="0" borderId="50" xfId="2" applyNumberFormat="1" applyFont="1" applyBorder="1" applyAlignment="1">
      <alignment horizontal="center" vertical="center" wrapText="1"/>
    </xf>
    <xf numFmtId="3" fontId="6" fillId="0" borderId="51" xfId="2" applyNumberFormat="1" applyFont="1" applyBorder="1" applyAlignment="1">
      <alignment horizontal="center" vertical="center" wrapText="1"/>
    </xf>
    <xf numFmtId="3" fontId="6" fillId="0" borderId="52" xfId="2" applyNumberFormat="1" applyFont="1" applyBorder="1" applyAlignment="1">
      <alignment horizontal="center" vertical="center" wrapText="1"/>
    </xf>
    <xf numFmtId="0" fontId="7" fillId="3" borderId="0" xfId="2" applyFont="1" applyFill="1" applyAlignment="1">
      <alignment vertical="center" wrapText="1"/>
    </xf>
    <xf numFmtId="0" fontId="6" fillId="3" borderId="54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7" fillId="0" borderId="55" xfId="2" applyFont="1" applyBorder="1" applyAlignment="1">
      <alignment horizontal="center" vertical="center" wrapText="1"/>
    </xf>
    <xf numFmtId="0" fontId="7" fillId="0" borderId="56" xfId="2" applyFont="1" applyBorder="1" applyAlignment="1">
      <alignment horizontal="center" vertical="center" wrapText="1"/>
    </xf>
    <xf numFmtId="0" fontId="7" fillId="0" borderId="57" xfId="2" applyFont="1" applyBorder="1" applyAlignment="1">
      <alignment horizontal="center" vertical="center" wrapText="1"/>
    </xf>
    <xf numFmtId="0" fontId="7" fillId="0" borderId="13" xfId="2" applyFont="1" applyFill="1" applyBorder="1" applyAlignment="1">
      <alignment vertical="center" wrapText="1"/>
    </xf>
    <xf numFmtId="170" fontId="7" fillId="0" borderId="13" xfId="2" applyNumberFormat="1" applyFont="1" applyFill="1" applyBorder="1" applyAlignment="1">
      <alignment horizontal="center" vertical="center" wrapText="1"/>
    </xf>
    <xf numFmtId="4" fontId="7" fillId="0" borderId="13" xfId="2" applyNumberFormat="1" applyFont="1" applyFill="1" applyBorder="1" applyAlignment="1">
      <alignment vertical="center" wrapText="1"/>
    </xf>
    <xf numFmtId="2" fontId="7" fillId="0" borderId="13" xfId="2" applyNumberFormat="1" applyFont="1" applyFill="1" applyBorder="1" applyAlignment="1">
      <alignment horizontal="center" vertical="center" wrapText="1"/>
    </xf>
    <xf numFmtId="9" fontId="7" fillId="0" borderId="13" xfId="6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vertical="center" wrapText="1"/>
    </xf>
    <xf numFmtId="0" fontId="10" fillId="0" borderId="13" xfId="2" applyFont="1" applyFill="1" applyBorder="1" applyAlignment="1">
      <alignment horizontal="center" vertical="center" wrapText="1"/>
    </xf>
    <xf numFmtId="166" fontId="10" fillId="0" borderId="13" xfId="2" applyNumberFormat="1" applyFont="1" applyFill="1" applyBorder="1" applyAlignment="1">
      <alignment vertical="center" wrapText="1"/>
    </xf>
    <xf numFmtId="9" fontId="10" fillId="0" borderId="13" xfId="6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7" fillId="0" borderId="39" xfId="2" applyFont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166" fontId="6" fillId="0" borderId="29" xfId="2" applyNumberFormat="1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10" fontId="5" fillId="0" borderId="0" xfId="6" applyNumberFormat="1" applyFont="1" applyAlignment="1">
      <alignment vertical="center" wrapText="1"/>
    </xf>
    <xf numFmtId="0" fontId="6" fillId="0" borderId="10" xfId="2" applyFont="1" applyBorder="1" applyAlignment="1">
      <alignment horizontal="center" vertical="center" wrapText="1"/>
    </xf>
    <xf numFmtId="4" fontId="7" fillId="0" borderId="8" xfId="2" applyNumberFormat="1" applyFont="1" applyFill="1" applyBorder="1" applyAlignment="1">
      <alignment vertical="center" wrapText="1"/>
    </xf>
    <xf numFmtId="7" fontId="7" fillId="0" borderId="8" xfId="7" applyNumberFormat="1" applyFont="1" applyFill="1" applyBorder="1" applyAlignment="1">
      <alignment horizontal="right" vertical="center" wrapText="1"/>
    </xf>
    <xf numFmtId="7" fontId="10" fillId="0" borderId="8" xfId="7" applyNumberFormat="1" applyFont="1" applyFill="1" applyBorder="1" applyAlignment="1">
      <alignment horizontal="right" vertical="center" wrapText="1"/>
    </xf>
    <xf numFmtId="0" fontId="7" fillId="0" borderId="13" xfId="2" applyFont="1" applyFill="1" applyBorder="1" applyAlignment="1">
      <alignment horizontal="left" vertical="center"/>
    </xf>
    <xf numFmtId="7" fontId="6" fillId="0" borderId="8" xfId="7" applyNumberFormat="1" applyFont="1" applyFill="1" applyBorder="1" applyAlignment="1">
      <alignment vertical="center" wrapText="1"/>
    </xf>
    <xf numFmtId="170" fontId="6" fillId="0" borderId="13" xfId="2" applyNumberFormat="1" applyFont="1" applyFill="1" applyBorder="1" applyAlignment="1">
      <alignment vertical="center" wrapText="1"/>
    </xf>
    <xf numFmtId="166" fontId="7" fillId="0" borderId="13" xfId="5" applyFont="1" applyFill="1" applyBorder="1" applyAlignment="1" applyProtection="1">
      <alignment horizontal="right" vertical="center" wrapText="1"/>
    </xf>
    <xf numFmtId="4" fontId="6" fillId="0" borderId="8" xfId="2" applyNumberFormat="1" applyFont="1" applyFill="1" applyBorder="1" applyAlignment="1">
      <alignment vertical="center" wrapText="1"/>
    </xf>
    <xf numFmtId="172" fontId="6" fillId="0" borderId="8" xfId="5" applyNumberFormat="1" applyFont="1" applyFill="1" applyBorder="1" applyAlignment="1" applyProtection="1">
      <alignment vertical="center" wrapText="1"/>
    </xf>
    <xf numFmtId="0" fontId="8" fillId="0" borderId="13" xfId="2" applyFont="1" applyFill="1" applyBorder="1" applyAlignment="1">
      <alignment vertical="center" wrapText="1"/>
    </xf>
    <xf numFmtId="172" fontId="7" fillId="0" borderId="8" xfId="2" applyNumberFormat="1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172" fontId="6" fillId="0" borderId="8" xfId="2" applyNumberFormat="1" applyFont="1" applyFill="1" applyBorder="1" applyAlignment="1">
      <alignment vertical="center" wrapText="1"/>
    </xf>
    <xf numFmtId="166" fontId="6" fillId="0" borderId="13" xfId="2" applyNumberFormat="1" applyFont="1" applyFill="1" applyBorder="1" applyAlignment="1">
      <alignment horizontal="center" vertical="center" wrapText="1"/>
    </xf>
    <xf numFmtId="3" fontId="6" fillId="0" borderId="13" xfId="2" applyNumberFormat="1" applyFont="1" applyFill="1" applyBorder="1" applyAlignment="1">
      <alignment horizontal="center" vertical="center" wrapText="1"/>
    </xf>
    <xf numFmtId="3" fontId="6" fillId="0" borderId="8" xfId="2" applyNumberFormat="1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justify" vertical="center" wrapText="1"/>
    </xf>
    <xf numFmtId="44" fontId="7" fillId="0" borderId="8" xfId="7" applyFont="1" applyFill="1" applyBorder="1" applyAlignment="1">
      <alignment vertical="center" wrapText="1"/>
    </xf>
    <xf numFmtId="3" fontId="7" fillId="0" borderId="13" xfId="2" applyNumberFormat="1" applyFont="1" applyFill="1" applyBorder="1" applyAlignment="1">
      <alignment horizontal="right" vertical="center" wrapText="1"/>
    </xf>
    <xf numFmtId="0" fontId="3" fillId="0" borderId="47" xfId="2" applyFont="1" applyBorder="1" applyAlignment="1">
      <alignment vertical="center"/>
    </xf>
    <xf numFmtId="0" fontId="3" fillId="0" borderId="58" xfId="2" applyFont="1" applyBorder="1" applyAlignment="1">
      <alignment vertical="center"/>
    </xf>
    <xf numFmtId="0" fontId="3" fillId="0" borderId="52" xfId="2" applyFont="1" applyBorder="1" applyAlignment="1">
      <alignment vertical="center"/>
    </xf>
    <xf numFmtId="0" fontId="3" fillId="0" borderId="17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39" xfId="2" applyFont="1" applyBorder="1" applyAlignment="1">
      <alignment horizontal="center" vertical="center"/>
    </xf>
    <xf numFmtId="0" fontId="3" fillId="0" borderId="55" xfId="2" applyFont="1" applyBorder="1" applyAlignment="1">
      <alignment vertical="center"/>
    </xf>
    <xf numFmtId="0" fontId="3" fillId="0" borderId="38" xfId="2" applyFont="1" applyBorder="1" applyAlignment="1">
      <alignment horizontal="center" vertical="center"/>
    </xf>
    <xf numFmtId="0" fontId="3" fillId="0" borderId="37" xfId="2" applyFont="1" applyBorder="1" applyAlignment="1">
      <alignment vertical="center"/>
    </xf>
    <xf numFmtId="0" fontId="3" fillId="0" borderId="55" xfId="2" applyFont="1" applyBorder="1" applyAlignment="1">
      <alignment horizontal="center" vertical="center"/>
    </xf>
    <xf numFmtId="0" fontId="3" fillId="0" borderId="49" xfId="2" applyFont="1" applyBorder="1" applyAlignment="1">
      <alignment vertical="center"/>
    </xf>
    <xf numFmtId="0" fontId="6" fillId="2" borderId="13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166" fontId="7" fillId="2" borderId="13" xfId="2" applyNumberFormat="1" applyFont="1" applyFill="1" applyBorder="1" applyAlignment="1">
      <alignment vertical="center" wrapText="1"/>
    </xf>
    <xf numFmtId="170" fontId="7" fillId="2" borderId="13" xfId="2" applyNumberFormat="1" applyFont="1" applyFill="1" applyBorder="1" applyAlignment="1">
      <alignment horizontal="center" vertical="center" wrapText="1"/>
    </xf>
    <xf numFmtId="7" fontId="7" fillId="2" borderId="8" xfId="7" applyNumberFormat="1" applyFont="1" applyFill="1" applyBorder="1" applyAlignment="1">
      <alignment horizontal="right" vertical="center" wrapText="1"/>
    </xf>
    <xf numFmtId="0" fontId="6" fillId="2" borderId="13" xfId="2" applyFont="1" applyFill="1" applyBorder="1" applyAlignment="1">
      <alignment vertical="center"/>
    </xf>
    <xf numFmtId="0" fontId="8" fillId="2" borderId="13" xfId="2" applyFont="1" applyFill="1" applyBorder="1" applyAlignment="1">
      <alignment horizontal="center" vertical="center"/>
    </xf>
    <xf numFmtId="169" fontId="7" fillId="2" borderId="13" xfId="2" applyNumberFormat="1" applyFont="1" applyFill="1" applyBorder="1" applyAlignment="1">
      <alignment horizontal="center" vertical="center" wrapText="1"/>
    </xf>
    <xf numFmtId="3" fontId="6" fillId="2" borderId="8" xfId="3" applyNumberFormat="1" applyFont="1" applyFill="1" applyBorder="1" applyAlignment="1">
      <alignment horizontal="right" vertical="center" wrapText="1"/>
    </xf>
    <xf numFmtId="44" fontId="6" fillId="2" borderId="8" xfId="7" applyFont="1" applyFill="1" applyBorder="1" applyAlignment="1">
      <alignment vertical="center" wrapText="1"/>
    </xf>
    <xf numFmtId="0" fontId="7" fillId="2" borderId="13" xfId="2" applyFont="1" applyFill="1" applyBorder="1" applyAlignment="1">
      <alignment vertical="center" wrapText="1"/>
    </xf>
    <xf numFmtId="3" fontId="7" fillId="2" borderId="13" xfId="2" applyNumberFormat="1" applyFont="1" applyFill="1" applyBorder="1" applyAlignment="1">
      <alignment horizontal="center" vertical="center" wrapText="1"/>
    </xf>
    <xf numFmtId="2" fontId="7" fillId="2" borderId="13" xfId="2" applyNumberFormat="1" applyFont="1" applyFill="1" applyBorder="1" applyAlignment="1">
      <alignment horizontal="center" vertical="center" wrapText="1"/>
    </xf>
    <xf numFmtId="166" fontId="6" fillId="2" borderId="8" xfId="2" applyNumberFormat="1" applyFont="1" applyFill="1" applyBorder="1" applyAlignment="1">
      <alignment vertical="center" wrapText="1"/>
    </xf>
    <xf numFmtId="2" fontId="6" fillId="2" borderId="13" xfId="2" applyNumberFormat="1" applyFont="1" applyFill="1" applyBorder="1" applyAlignment="1">
      <alignment horizontal="center" vertical="center" wrapText="1"/>
    </xf>
    <xf numFmtId="4" fontId="6" fillId="2" borderId="13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wrapText="1"/>
    </xf>
    <xf numFmtId="0" fontId="7" fillId="2" borderId="6" xfId="2" applyFont="1" applyFill="1" applyBorder="1" applyAlignment="1">
      <alignment vertical="center" wrapText="1"/>
    </xf>
    <xf numFmtId="3" fontId="6" fillId="2" borderId="13" xfId="2" applyNumberFormat="1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172" fontId="6" fillId="0" borderId="8" xfId="2" applyNumberFormat="1" applyFont="1" applyFill="1" applyBorder="1" applyAlignment="1">
      <alignment horizontal="right" vertical="center" wrapText="1"/>
    </xf>
    <xf numFmtId="44" fontId="5" fillId="0" borderId="0" xfId="7" applyFont="1" applyAlignment="1">
      <alignment vertical="center" wrapText="1"/>
    </xf>
    <xf numFmtId="173" fontId="12" fillId="0" borderId="0" xfId="7" applyNumberFormat="1" applyFont="1" applyAlignment="1">
      <alignment vertical="center"/>
    </xf>
    <xf numFmtId="174" fontId="6" fillId="2" borderId="1" xfId="2" applyNumberFormat="1" applyFont="1" applyFill="1" applyBorder="1" applyAlignment="1">
      <alignment vertical="center" wrapText="1"/>
    </xf>
    <xf numFmtId="7" fontId="5" fillId="0" borderId="0" xfId="2" applyNumberFormat="1" applyFont="1" applyAlignment="1">
      <alignment vertical="center" wrapText="1"/>
    </xf>
    <xf numFmtId="2" fontId="6" fillId="2" borderId="13" xfId="2" applyNumberFormat="1" applyFont="1" applyFill="1" applyBorder="1" applyAlignment="1">
      <alignment vertical="center" wrapText="1"/>
    </xf>
    <xf numFmtId="2" fontId="10" fillId="0" borderId="13" xfId="2" applyNumberFormat="1" applyFont="1" applyFill="1" applyBorder="1" applyAlignment="1">
      <alignment horizontal="center" vertical="center" wrapText="1"/>
    </xf>
    <xf numFmtId="2" fontId="6" fillId="0" borderId="13" xfId="2" applyNumberFormat="1" applyFont="1" applyFill="1" applyBorder="1" applyAlignment="1">
      <alignment vertical="center" wrapText="1"/>
    </xf>
    <xf numFmtId="2" fontId="6" fillId="0" borderId="13" xfId="2" applyNumberFormat="1" applyFont="1" applyFill="1" applyBorder="1" applyAlignment="1">
      <alignment horizontal="center" vertical="center" wrapText="1"/>
    </xf>
    <xf numFmtId="2" fontId="7" fillId="0" borderId="13" xfId="2" applyNumberFormat="1" applyFont="1" applyFill="1" applyBorder="1" applyAlignment="1">
      <alignment vertical="center" wrapText="1"/>
    </xf>
    <xf numFmtId="2" fontId="7" fillId="2" borderId="6" xfId="2" applyNumberFormat="1" applyFont="1" applyFill="1" applyBorder="1" applyAlignment="1">
      <alignment vertical="center" wrapText="1"/>
    </xf>
    <xf numFmtId="2" fontId="3" fillId="0" borderId="58" xfId="2" applyNumberFormat="1" applyFont="1" applyBorder="1" applyAlignment="1">
      <alignment vertical="center"/>
    </xf>
    <xf numFmtId="2" fontId="3" fillId="0" borderId="38" xfId="2" applyNumberFormat="1" applyFont="1" applyBorder="1" applyAlignment="1">
      <alignment horizontal="center" vertical="center"/>
    </xf>
    <xf numFmtId="2" fontId="3" fillId="0" borderId="55" xfId="2" applyNumberFormat="1" applyFont="1" applyBorder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174" fontId="6" fillId="2" borderId="8" xfId="2" applyNumberFormat="1" applyFont="1" applyFill="1" applyBorder="1" applyAlignment="1">
      <alignment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/>
    </xf>
    <xf numFmtId="0" fontId="4" fillId="0" borderId="16" xfId="2" applyFont="1" applyBorder="1" applyAlignment="1">
      <alignment horizontal="left" vertical="center"/>
    </xf>
    <xf numFmtId="3" fontId="6" fillId="2" borderId="13" xfId="2" applyNumberFormat="1" applyFont="1" applyFill="1" applyBorder="1" applyAlignment="1">
      <alignment horizontal="center" vertical="center" wrapText="1"/>
    </xf>
    <xf numFmtId="2" fontId="6" fillId="2" borderId="35" xfId="2" applyNumberFormat="1" applyFont="1" applyFill="1" applyBorder="1" applyAlignment="1">
      <alignment horizontal="center" vertical="center" wrapText="1"/>
    </xf>
    <xf numFmtId="2" fontId="6" fillId="2" borderId="36" xfId="2" applyNumberFormat="1" applyFont="1" applyFill="1" applyBorder="1" applyAlignment="1">
      <alignment horizontal="center" vertical="center" wrapText="1"/>
    </xf>
    <xf numFmtId="2" fontId="6" fillId="2" borderId="20" xfId="2" applyNumberFormat="1" applyFont="1" applyFill="1" applyBorder="1" applyAlignment="1">
      <alignment horizontal="center" vertical="center" wrapText="1"/>
    </xf>
    <xf numFmtId="3" fontId="6" fillId="2" borderId="8" xfId="2" applyNumberFormat="1" applyFont="1" applyFill="1" applyBorder="1" applyAlignment="1">
      <alignment horizontal="center" vertical="center" wrapText="1"/>
    </xf>
    <xf numFmtId="170" fontId="6" fillId="0" borderId="13" xfId="2" applyNumberFormat="1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3" fillId="0" borderId="44" xfId="2" applyFont="1" applyBorder="1" applyAlignment="1">
      <alignment horizontal="center" vertical="center"/>
    </xf>
    <xf numFmtId="0" fontId="3" fillId="0" borderId="59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17" fontId="6" fillId="3" borderId="54" xfId="2" applyNumberFormat="1" applyFont="1" applyFill="1" applyBorder="1" applyAlignment="1">
      <alignment horizontal="center" vertical="center" wrapText="1"/>
    </xf>
    <xf numFmtId="0" fontId="6" fillId="3" borderId="54" xfId="2" applyFont="1" applyFill="1" applyBorder="1" applyAlignment="1">
      <alignment horizontal="center" vertical="center" wrapText="1"/>
    </xf>
    <xf numFmtId="0" fontId="6" fillId="0" borderId="51" xfId="2" applyFont="1" applyBorder="1" applyAlignment="1">
      <alignment horizontal="center" vertical="center" wrapText="1"/>
    </xf>
    <xf numFmtId="0" fontId="6" fillId="0" borderId="50" xfId="2" applyFont="1" applyBorder="1" applyAlignment="1">
      <alignment horizontal="center" vertical="center" wrapText="1"/>
    </xf>
    <xf numFmtId="0" fontId="6" fillId="0" borderId="48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49" xfId="2" applyFont="1" applyBorder="1" applyAlignment="1">
      <alignment horizontal="center" vertical="center" wrapText="1"/>
    </xf>
    <xf numFmtId="0" fontId="6" fillId="3" borderId="29" xfId="2" applyFont="1" applyFill="1" applyBorder="1" applyAlignment="1">
      <alignment horizontal="center" vertical="center" wrapText="1"/>
    </xf>
    <xf numFmtId="0" fontId="6" fillId="3" borderId="53" xfId="2" applyFont="1" applyFill="1" applyBorder="1" applyAlignment="1">
      <alignment horizontal="center" vertical="center" wrapText="1"/>
    </xf>
    <xf numFmtId="3" fontId="9" fillId="0" borderId="51" xfId="2" applyNumberFormat="1" applyFont="1" applyBorder="1" applyAlignment="1">
      <alignment horizontal="center" vertical="center" wrapText="1"/>
    </xf>
    <xf numFmtId="3" fontId="9" fillId="0" borderId="50" xfId="2" applyNumberFormat="1" applyFont="1" applyBorder="1" applyAlignment="1">
      <alignment horizontal="center" vertical="center" wrapText="1"/>
    </xf>
    <xf numFmtId="3" fontId="9" fillId="0" borderId="48" xfId="2" applyNumberFormat="1" applyFont="1" applyBorder="1" applyAlignment="1">
      <alignment horizontal="center" vertical="center" wrapText="1"/>
    </xf>
    <xf numFmtId="3" fontId="6" fillId="0" borderId="51" xfId="2" applyNumberFormat="1" applyFont="1" applyBorder="1" applyAlignment="1">
      <alignment horizontal="center" vertical="center" wrapText="1"/>
    </xf>
    <xf numFmtId="3" fontId="6" fillId="0" borderId="50" xfId="2" applyNumberFormat="1" applyFont="1" applyBorder="1" applyAlignment="1">
      <alignment horizontal="center" vertical="center" wrapText="1"/>
    </xf>
    <xf numFmtId="3" fontId="6" fillId="0" borderId="48" xfId="2" applyNumberFormat="1" applyFont="1" applyBorder="1" applyAlignment="1">
      <alignment horizontal="center" vertical="center" wrapText="1"/>
    </xf>
    <xf numFmtId="3" fontId="6" fillId="0" borderId="47" xfId="2" applyNumberFormat="1" applyFont="1" applyBorder="1" applyAlignment="1">
      <alignment horizontal="center" vertical="center" wrapText="1"/>
    </xf>
    <xf numFmtId="3" fontId="6" fillId="0" borderId="52" xfId="2" applyNumberFormat="1" applyFont="1" applyBorder="1" applyAlignment="1">
      <alignment horizontal="center" vertical="center" wrapText="1"/>
    </xf>
    <xf numFmtId="170" fontId="6" fillId="0" borderId="15" xfId="2" applyNumberFormat="1" applyFont="1" applyBorder="1" applyAlignment="1">
      <alignment horizontal="left" vertical="center" wrapText="1"/>
    </xf>
    <xf numFmtId="170" fontId="6" fillId="0" borderId="40" xfId="2" applyNumberFormat="1" applyFont="1" applyBorder="1" applyAlignment="1">
      <alignment horizontal="left" vertical="center" wrapText="1"/>
    </xf>
    <xf numFmtId="170" fontId="6" fillId="0" borderId="41" xfId="2" applyNumberFormat="1" applyFont="1" applyBorder="1" applyAlignment="1">
      <alignment horizontal="left" vertical="center" wrapText="1"/>
    </xf>
    <xf numFmtId="0" fontId="6" fillId="0" borderId="22" xfId="2" applyFont="1" applyBorder="1" applyAlignment="1">
      <alignment horizontal="left" vertical="center" wrapText="1"/>
    </xf>
    <xf numFmtId="0" fontId="6" fillId="0" borderId="38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</cellXfs>
  <cellStyles count="8">
    <cellStyle name="Millares" xfId="1" builtinId="3"/>
    <cellStyle name="Millares 4" xfId="3" xr:uid="{00000000-0005-0000-0000-000001000000}"/>
    <cellStyle name="Moneda" xfId="7" builtinId="4"/>
    <cellStyle name="Moneda 2" xfId="5" xr:uid="{00000000-0005-0000-0000-000003000000}"/>
    <cellStyle name="Normal" xfId="0" builtinId="0"/>
    <cellStyle name="Normal 2" xfId="2" xr:uid="{00000000-0005-0000-0000-000005000000}"/>
    <cellStyle name="Normal 2 2 2 2 2" xfId="4" xr:uid="{00000000-0005-0000-0000-000006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74082</xdr:colOff>
      <xdr:row>0</xdr:row>
      <xdr:rowOff>309809</xdr:rowOff>
    </xdr:from>
    <xdr:to>
      <xdr:col>8</xdr:col>
      <xdr:colOff>996345</xdr:colOff>
      <xdr:row>0</xdr:row>
      <xdr:rowOff>803706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B6754E-D833-4F3E-8070-6D495E0674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779" t="68923" r="19155"/>
        <a:stretch/>
      </xdr:blipFill>
      <xdr:spPr>
        <a:xfrm>
          <a:off x="9237132" y="309809"/>
          <a:ext cx="1855713" cy="493897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0</xdr:row>
      <xdr:rowOff>169334</xdr:rowOff>
    </xdr:from>
    <xdr:to>
      <xdr:col>2</xdr:col>
      <xdr:colOff>1079500</xdr:colOff>
      <xdr:row>0</xdr:row>
      <xdr:rowOff>793751</xdr:rowOff>
    </xdr:to>
    <xdr:pic>
      <xdr:nvPicPr>
        <xdr:cNvPr id="3" name="Imagen 2" descr="Ferrocarril de Antioquia ::">
          <a:extLst>
            <a:ext uri="{FF2B5EF4-FFF2-40B4-BE49-F238E27FC236}">
              <a16:creationId xmlns:a16="http://schemas.microsoft.com/office/drawing/2014/main" id="{F7836B4D-CA0A-4E61-82E8-E2B1563EC046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725"/>
        <a:stretch/>
      </xdr:blipFill>
      <xdr:spPr bwMode="auto">
        <a:xfrm>
          <a:off x="127000" y="169334"/>
          <a:ext cx="1790700" cy="624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69"/>
  <sheetViews>
    <sheetView tabSelected="1" view="pageBreakPreview" topLeftCell="B1" zoomScale="70" zoomScaleNormal="70" zoomScaleSheetLayoutView="70" zoomScalePageLayoutView="70" workbookViewId="0">
      <selection activeCell="I6" sqref="B6:I63"/>
    </sheetView>
  </sheetViews>
  <sheetFormatPr baseColWidth="10" defaultColWidth="11.44140625" defaultRowHeight="13.8" x14ac:dyDescent="0.3"/>
  <cols>
    <col min="1" max="1" width="12.5546875" style="3" hidden="1" customWidth="1"/>
    <col min="2" max="2" width="12.5546875" style="3" customWidth="1"/>
    <col min="3" max="3" width="68.88671875" style="1" customWidth="1"/>
    <col min="4" max="4" width="12.6640625" style="1" customWidth="1"/>
    <col min="5" max="5" width="9.88671875" style="1" customWidth="1"/>
    <col min="6" max="6" width="17.5546875" style="1" customWidth="1"/>
    <col min="7" max="7" width="15.88671875" style="3" customWidth="1"/>
    <col min="8" max="8" width="14" style="282" customWidth="1"/>
    <col min="9" max="9" width="20.44140625" style="1" customWidth="1"/>
    <col min="10" max="10" width="26.6640625" style="1" bestFit="1" customWidth="1"/>
    <col min="11" max="11" width="29.44140625" style="1" bestFit="1" customWidth="1"/>
    <col min="12" max="12" width="24.44140625" style="1" bestFit="1" customWidth="1"/>
    <col min="13" max="13" width="23.44140625" style="1" bestFit="1" customWidth="1"/>
    <col min="14" max="14" width="24.44140625" style="1" bestFit="1" customWidth="1"/>
    <col min="15" max="15" width="23.44140625" style="1" bestFit="1" customWidth="1"/>
    <col min="16" max="16" width="24.44140625" style="1" bestFit="1" customWidth="1"/>
    <col min="17" max="17" width="20.88671875" style="1" bestFit="1" customWidth="1"/>
    <col min="18" max="16384" width="11.44140625" style="1"/>
  </cols>
  <sheetData>
    <row r="1" spans="1:9" ht="77.25" customHeight="1" x14ac:dyDescent="0.3">
      <c r="B1" s="294"/>
      <c r="C1" s="295"/>
      <c r="D1" s="295"/>
      <c r="E1" s="295"/>
      <c r="F1" s="295"/>
      <c r="G1" s="295"/>
      <c r="H1" s="295"/>
      <c r="I1" s="296"/>
    </row>
    <row r="2" spans="1:9" ht="33.75" customHeight="1" x14ac:dyDescent="0.3">
      <c r="B2" s="297" t="s">
        <v>105</v>
      </c>
      <c r="C2" s="298"/>
      <c r="D2" s="298"/>
      <c r="E2" s="298"/>
      <c r="F2" s="298"/>
      <c r="G2" s="298"/>
      <c r="H2" s="298"/>
      <c r="I2" s="299"/>
    </row>
    <row r="3" spans="1:9" ht="33" customHeight="1" x14ac:dyDescent="0.3">
      <c r="B3" s="297" t="s">
        <v>106</v>
      </c>
      <c r="C3" s="298"/>
      <c r="D3" s="298"/>
      <c r="E3" s="298"/>
      <c r="F3" s="298"/>
      <c r="G3" s="298"/>
      <c r="H3" s="298"/>
      <c r="I3" s="299"/>
    </row>
    <row r="4" spans="1:9" s="194" customFormat="1" ht="75" customHeight="1" thickBot="1" x14ac:dyDescent="0.35">
      <c r="A4" s="208"/>
      <c r="B4" s="300" t="s">
        <v>114</v>
      </c>
      <c r="C4" s="301"/>
      <c r="D4" s="301"/>
      <c r="E4" s="301"/>
      <c r="F4" s="301"/>
      <c r="G4" s="301"/>
      <c r="H4" s="301"/>
      <c r="I4" s="302"/>
    </row>
    <row r="5" spans="1:9" s="194" customFormat="1" ht="32.25" customHeight="1" x14ac:dyDescent="0.3">
      <c r="A5" s="48"/>
      <c r="B5" s="300" t="s">
        <v>115</v>
      </c>
      <c r="C5" s="301"/>
      <c r="D5" s="301"/>
      <c r="E5" s="301"/>
      <c r="F5" s="301"/>
      <c r="G5" s="301"/>
      <c r="H5" s="301"/>
      <c r="I5" s="302"/>
    </row>
    <row r="6" spans="1:9" s="40" customFormat="1" ht="23.25" customHeight="1" x14ac:dyDescent="0.3">
      <c r="A6" s="303"/>
      <c r="B6" s="305" t="s">
        <v>104</v>
      </c>
      <c r="C6" s="306" t="s">
        <v>44</v>
      </c>
      <c r="D6" s="306" t="s">
        <v>43</v>
      </c>
      <c r="E6" s="306" t="s">
        <v>39</v>
      </c>
      <c r="F6" s="287" t="s">
        <v>107</v>
      </c>
      <c r="G6" s="287" t="s">
        <v>108</v>
      </c>
      <c r="H6" s="288" t="s">
        <v>110</v>
      </c>
      <c r="I6" s="291" t="s">
        <v>109</v>
      </c>
    </row>
    <row r="7" spans="1:9" s="40" customFormat="1" ht="23.25" customHeight="1" x14ac:dyDescent="0.3">
      <c r="A7" s="303"/>
      <c r="B7" s="305"/>
      <c r="C7" s="306"/>
      <c r="D7" s="306"/>
      <c r="E7" s="306"/>
      <c r="F7" s="287"/>
      <c r="G7" s="287"/>
      <c r="H7" s="289"/>
      <c r="I7" s="291"/>
    </row>
    <row r="8" spans="1:9" s="40" customFormat="1" ht="23.25" customHeight="1" thickBot="1" x14ac:dyDescent="0.35">
      <c r="A8" s="304"/>
      <c r="B8" s="305"/>
      <c r="C8" s="306"/>
      <c r="D8" s="306"/>
      <c r="E8" s="306"/>
      <c r="F8" s="287"/>
      <c r="G8" s="287"/>
      <c r="H8" s="290"/>
      <c r="I8" s="291"/>
    </row>
    <row r="9" spans="1:9" s="11" customFormat="1" ht="23.25" customHeight="1" x14ac:dyDescent="0.3">
      <c r="A9" s="185" t="s">
        <v>91</v>
      </c>
      <c r="B9" s="267" t="s">
        <v>91</v>
      </c>
      <c r="C9" s="244" t="s">
        <v>90</v>
      </c>
      <c r="D9" s="244"/>
      <c r="E9" s="244"/>
      <c r="F9" s="244"/>
      <c r="G9" s="244"/>
      <c r="H9" s="273"/>
      <c r="I9" s="245"/>
    </row>
    <row r="10" spans="1:9" s="11" customFormat="1" ht="22.8" x14ac:dyDescent="0.3">
      <c r="A10" s="59">
        <v>1</v>
      </c>
      <c r="B10" s="27">
        <v>1</v>
      </c>
      <c r="C10" s="207" t="s">
        <v>89</v>
      </c>
      <c r="D10" s="207"/>
      <c r="E10" s="87"/>
      <c r="F10" s="200"/>
      <c r="G10" s="201"/>
      <c r="H10" s="201"/>
      <c r="I10" s="214"/>
    </row>
    <row r="11" spans="1:9" s="11" customFormat="1" ht="22.8" x14ac:dyDescent="0.3">
      <c r="A11" s="38" t="s">
        <v>88</v>
      </c>
      <c r="B11" s="27" t="s">
        <v>88</v>
      </c>
      <c r="C11" s="198" t="s">
        <v>87</v>
      </c>
      <c r="D11" s="198" t="s">
        <v>64</v>
      </c>
      <c r="E11" s="87">
        <v>1</v>
      </c>
      <c r="F11" s="82">
        <v>6400000</v>
      </c>
      <c r="G11" s="202">
        <v>1</v>
      </c>
      <c r="H11" s="201">
        <v>7.77</v>
      </c>
      <c r="I11" s="215">
        <f>+E11*F11*G11*H11</f>
        <v>49728000</v>
      </c>
    </row>
    <row r="12" spans="1:9" s="11" customFormat="1" ht="22.8" x14ac:dyDescent="0.3">
      <c r="A12" s="38"/>
      <c r="B12" s="27"/>
      <c r="C12" s="198" t="s">
        <v>86</v>
      </c>
      <c r="D12" s="198" t="s">
        <v>64</v>
      </c>
      <c r="E12" s="87"/>
      <c r="F12" s="82">
        <v>6400000</v>
      </c>
      <c r="G12" s="202">
        <v>0</v>
      </c>
      <c r="H12" s="201">
        <v>0</v>
      </c>
      <c r="I12" s="215">
        <f>+E12*F12*G12*H12</f>
        <v>0</v>
      </c>
    </row>
    <row r="13" spans="1:9" s="11" customFormat="1" ht="22.8" x14ac:dyDescent="0.3">
      <c r="A13" s="38" t="s">
        <v>85</v>
      </c>
      <c r="B13" s="27" t="s">
        <v>85</v>
      </c>
      <c r="C13" s="198" t="s">
        <v>84</v>
      </c>
      <c r="D13" s="198" t="s">
        <v>64</v>
      </c>
      <c r="E13" s="87">
        <v>1</v>
      </c>
      <c r="F13" s="82">
        <v>4500000</v>
      </c>
      <c r="G13" s="202">
        <v>0.3</v>
      </c>
      <c r="H13" s="201"/>
      <c r="I13" s="216">
        <f>+E13*F13*G13*H13</f>
        <v>0</v>
      </c>
    </row>
    <row r="14" spans="1:9" s="11" customFormat="1" ht="22.8" x14ac:dyDescent="0.3">
      <c r="A14" s="38"/>
      <c r="B14" s="27"/>
      <c r="C14" s="198" t="s">
        <v>84</v>
      </c>
      <c r="D14" s="198" t="s">
        <v>64</v>
      </c>
      <c r="E14" s="87">
        <v>1</v>
      </c>
      <c r="F14" s="82">
        <v>4500000</v>
      </c>
      <c r="G14" s="202">
        <v>1</v>
      </c>
      <c r="H14" s="201">
        <v>3</v>
      </c>
      <c r="I14" s="216">
        <f>+E14*F14*G14*H14</f>
        <v>13500000</v>
      </c>
    </row>
    <row r="15" spans="1:9" s="11" customFormat="1" ht="22.8" x14ac:dyDescent="0.3">
      <c r="A15" s="59" t="s">
        <v>83</v>
      </c>
      <c r="B15" s="27" t="s">
        <v>83</v>
      </c>
      <c r="C15" s="203" t="s">
        <v>82</v>
      </c>
      <c r="D15" s="203" t="s">
        <v>64</v>
      </c>
      <c r="E15" s="204">
        <v>2</v>
      </c>
      <c r="F15" s="205">
        <v>4500000</v>
      </c>
      <c r="G15" s="206">
        <v>1</v>
      </c>
      <c r="H15" s="274">
        <v>7.77</v>
      </c>
      <c r="I15" s="216">
        <f>+E15*F15*G15*H15</f>
        <v>69930000</v>
      </c>
    </row>
    <row r="16" spans="1:9" s="11" customFormat="1" ht="22.8" x14ac:dyDescent="0.3">
      <c r="A16" s="59" t="s">
        <v>80</v>
      </c>
      <c r="B16" s="27" t="s">
        <v>80</v>
      </c>
      <c r="C16" s="198" t="s">
        <v>79</v>
      </c>
      <c r="D16" s="198" t="s">
        <v>64</v>
      </c>
      <c r="E16" s="87">
        <v>1</v>
      </c>
      <c r="F16" s="82">
        <v>3500000</v>
      </c>
      <c r="G16" s="202">
        <v>1</v>
      </c>
      <c r="H16" s="201">
        <v>7.77</v>
      </c>
      <c r="I16" s="215">
        <f t="shared" ref="I16:I21" si="0">+E16*F16*G16*H16</f>
        <v>27195000</v>
      </c>
    </row>
    <row r="17" spans="1:17" s="11" customFormat="1" ht="22.8" x14ac:dyDescent="0.3">
      <c r="A17" s="59"/>
      <c r="B17" s="27"/>
      <c r="C17" s="198" t="s">
        <v>78</v>
      </c>
      <c r="D17" s="198"/>
      <c r="E17" s="87"/>
      <c r="F17" s="82">
        <v>3500000</v>
      </c>
      <c r="G17" s="202"/>
      <c r="H17" s="201">
        <v>0</v>
      </c>
      <c r="I17" s="215">
        <f t="shared" si="0"/>
        <v>0</v>
      </c>
    </row>
    <row r="18" spans="1:17" s="11" customFormat="1" ht="22.8" x14ac:dyDescent="0.3">
      <c r="A18" s="59" t="s">
        <v>77</v>
      </c>
      <c r="B18" s="27" t="s">
        <v>77</v>
      </c>
      <c r="C18" s="217" t="s">
        <v>76</v>
      </c>
      <c r="D18" s="198" t="s">
        <v>64</v>
      </c>
      <c r="E18" s="87">
        <v>1</v>
      </c>
      <c r="F18" s="82">
        <v>2700000</v>
      </c>
      <c r="G18" s="202">
        <v>1</v>
      </c>
      <c r="H18" s="201">
        <v>7.77</v>
      </c>
      <c r="I18" s="215">
        <f>+E18*F18*G18*H18</f>
        <v>20979000</v>
      </c>
    </row>
    <row r="19" spans="1:17" s="11" customFormat="1" ht="22.8" x14ac:dyDescent="0.3">
      <c r="A19" s="59" t="s">
        <v>75</v>
      </c>
      <c r="B19" s="27" t="s">
        <v>75</v>
      </c>
      <c r="C19" s="217" t="s">
        <v>74</v>
      </c>
      <c r="D19" s="198" t="s">
        <v>64</v>
      </c>
      <c r="E19" s="87">
        <v>3</v>
      </c>
      <c r="F19" s="82">
        <v>2000000</v>
      </c>
      <c r="G19" s="202">
        <v>1</v>
      </c>
      <c r="H19" s="201">
        <v>7.77</v>
      </c>
      <c r="I19" s="215">
        <f>+E19*F19*G19*H19</f>
        <v>46620000</v>
      </c>
    </row>
    <row r="20" spans="1:17" s="11" customFormat="1" ht="22.8" x14ac:dyDescent="0.3">
      <c r="A20" s="59" t="s">
        <v>73</v>
      </c>
      <c r="B20" s="27" t="s">
        <v>73</v>
      </c>
      <c r="C20" s="217" t="s">
        <v>72</v>
      </c>
      <c r="D20" s="198" t="s">
        <v>64</v>
      </c>
      <c r="E20" s="87"/>
      <c r="F20" s="82">
        <v>3435000</v>
      </c>
      <c r="G20" s="202">
        <v>0</v>
      </c>
      <c r="H20" s="201">
        <v>0</v>
      </c>
      <c r="I20" s="215">
        <f t="shared" si="0"/>
        <v>0</v>
      </c>
    </row>
    <row r="21" spans="1:17" s="11" customFormat="1" ht="22.8" x14ac:dyDescent="0.3">
      <c r="A21" s="59" t="s">
        <v>71</v>
      </c>
      <c r="B21" s="27" t="s">
        <v>71</v>
      </c>
      <c r="C21" s="217" t="s">
        <v>70</v>
      </c>
      <c r="D21" s="198" t="s">
        <v>64</v>
      </c>
      <c r="E21" s="87"/>
      <c r="F21" s="82">
        <v>5000000</v>
      </c>
      <c r="G21" s="202">
        <v>0</v>
      </c>
      <c r="H21" s="201">
        <v>0</v>
      </c>
      <c r="I21" s="215">
        <f t="shared" si="0"/>
        <v>0</v>
      </c>
    </row>
    <row r="22" spans="1:17" s="11" customFormat="1" ht="22.8" x14ac:dyDescent="0.3">
      <c r="A22" s="59">
        <v>2</v>
      </c>
      <c r="B22" s="246">
        <v>2</v>
      </c>
      <c r="C22" s="244" t="s">
        <v>69</v>
      </c>
      <c r="D22" s="244"/>
      <c r="E22" s="247"/>
      <c r="F22" s="248"/>
      <c r="G22" s="249"/>
      <c r="H22" s="258"/>
      <c r="I22" s="250"/>
    </row>
    <row r="23" spans="1:17" s="11" customFormat="1" ht="22.8" x14ac:dyDescent="0.3">
      <c r="A23" s="59" t="s">
        <v>68</v>
      </c>
      <c r="B23" s="27" t="s">
        <v>68</v>
      </c>
      <c r="C23" s="217" t="s">
        <v>67</v>
      </c>
      <c r="D23" s="198" t="s">
        <v>64</v>
      </c>
      <c r="E23" s="87">
        <v>1</v>
      </c>
      <c r="F23" s="82">
        <v>985000</v>
      </c>
      <c r="G23" s="202">
        <v>1</v>
      </c>
      <c r="H23" s="201">
        <v>7.77</v>
      </c>
      <c r="I23" s="215">
        <f>+E23*F23*G23*H23</f>
        <v>7653450</v>
      </c>
    </row>
    <row r="24" spans="1:17" s="11" customFormat="1" ht="22.8" x14ac:dyDescent="0.3">
      <c r="A24" s="59" t="s">
        <v>66</v>
      </c>
      <c r="B24" s="27" t="s">
        <v>66</v>
      </c>
      <c r="C24" s="217" t="s">
        <v>65</v>
      </c>
      <c r="D24" s="198" t="s">
        <v>64</v>
      </c>
      <c r="E24" s="87">
        <v>1</v>
      </c>
      <c r="F24" s="82">
        <v>1000000</v>
      </c>
      <c r="G24" s="202"/>
      <c r="H24" s="201"/>
      <c r="I24" s="215">
        <f>+E24*F24*G24*H24</f>
        <v>0</v>
      </c>
    </row>
    <row r="25" spans="1:17" s="11" customFormat="1" ht="42" customHeight="1" x14ac:dyDescent="0.3">
      <c r="A25" s="59"/>
      <c r="B25" s="27"/>
      <c r="C25" s="292" t="s">
        <v>63</v>
      </c>
      <c r="D25" s="292"/>
      <c r="E25" s="292"/>
      <c r="F25" s="292"/>
      <c r="G25" s="292"/>
      <c r="H25" s="292"/>
      <c r="I25" s="218">
        <f>SUM(I11:I24)</f>
        <v>235605450</v>
      </c>
      <c r="K25" s="272"/>
    </row>
    <row r="26" spans="1:17" s="11" customFormat="1" ht="22.8" x14ac:dyDescent="0.25">
      <c r="A26" s="38"/>
      <c r="B26" s="27"/>
      <c r="C26" s="219" t="s">
        <v>61</v>
      </c>
      <c r="D26" s="219"/>
      <c r="E26" s="219"/>
      <c r="F26" s="220"/>
      <c r="G26" s="219"/>
      <c r="H26" s="275">
        <v>1.79</v>
      </c>
      <c r="I26" s="221"/>
      <c r="J26" s="129"/>
      <c r="K26" s="129"/>
      <c r="L26" s="129"/>
      <c r="M26" s="129"/>
      <c r="N26" s="129"/>
      <c r="O26" s="129"/>
      <c r="P26" s="129"/>
      <c r="Q26" s="129"/>
    </row>
    <row r="27" spans="1:17" s="11" customFormat="1" ht="22.8" x14ac:dyDescent="0.25">
      <c r="A27" s="59"/>
      <c r="B27" s="27"/>
      <c r="C27" s="293" t="s">
        <v>60</v>
      </c>
      <c r="D27" s="293"/>
      <c r="E27" s="293"/>
      <c r="F27" s="293"/>
      <c r="G27" s="293"/>
      <c r="H27" s="276"/>
      <c r="I27" s="222">
        <f>ROUND(I25*$H$26,0)</f>
        <v>421733756</v>
      </c>
      <c r="J27" s="129"/>
      <c r="K27" s="129"/>
      <c r="L27" s="129"/>
      <c r="M27" s="129"/>
      <c r="N27" s="129"/>
      <c r="O27" s="129"/>
      <c r="P27" s="129"/>
      <c r="Q27" s="129"/>
    </row>
    <row r="28" spans="1:17" s="11" customFormat="1" ht="31.2" x14ac:dyDescent="0.3">
      <c r="A28" s="59">
        <v>2.2999999999999998</v>
      </c>
      <c r="B28" s="27">
        <v>2.2999999999999998</v>
      </c>
      <c r="C28" s="217" t="s">
        <v>59</v>
      </c>
      <c r="D28" s="223" t="s">
        <v>50</v>
      </c>
      <c r="E28" s="87"/>
      <c r="F28" s="82"/>
      <c r="G28" s="199"/>
      <c r="H28" s="201"/>
      <c r="I28" s="268">
        <f>SUM(I29:I35)</f>
        <v>44709338</v>
      </c>
    </row>
    <row r="29" spans="1:17" s="11" customFormat="1" ht="31.2" x14ac:dyDescent="0.3">
      <c r="A29" s="59"/>
      <c r="B29" s="27"/>
      <c r="C29" s="217" t="s">
        <v>58</v>
      </c>
      <c r="D29" s="223" t="s">
        <v>50</v>
      </c>
      <c r="E29" s="87">
        <v>1</v>
      </c>
      <c r="F29" s="82">
        <v>686147</v>
      </c>
      <c r="G29" s="199">
        <v>1</v>
      </c>
      <c r="H29" s="201">
        <v>7.77</v>
      </c>
      <c r="I29" s="224">
        <f>ROUND((+E29*F29*G29*H29),0)</f>
        <v>5331362</v>
      </c>
    </row>
    <row r="30" spans="1:17" s="11" customFormat="1" ht="31.2" x14ac:dyDescent="0.3">
      <c r="A30" s="59"/>
      <c r="B30" s="27"/>
      <c r="C30" s="217" t="s">
        <v>57</v>
      </c>
      <c r="D30" s="223" t="s">
        <v>50</v>
      </c>
      <c r="E30" s="87">
        <v>1</v>
      </c>
      <c r="F30" s="82">
        <v>686147</v>
      </c>
      <c r="G30" s="199">
        <v>1</v>
      </c>
      <c r="H30" s="201">
        <v>3</v>
      </c>
      <c r="I30" s="224">
        <f>ROUND((+E30*F30*G30*H30),0)</f>
        <v>2058441</v>
      </c>
    </row>
    <row r="31" spans="1:17" s="11" customFormat="1" ht="31.2" x14ac:dyDescent="0.3">
      <c r="A31" s="59"/>
      <c r="B31" s="27"/>
      <c r="C31" s="217" t="s">
        <v>56</v>
      </c>
      <c r="D31" s="223" t="s">
        <v>50</v>
      </c>
      <c r="E31" s="87">
        <v>2</v>
      </c>
      <c r="F31" s="82">
        <v>686147</v>
      </c>
      <c r="G31" s="199">
        <v>1</v>
      </c>
      <c r="H31" s="201">
        <v>7.77</v>
      </c>
      <c r="I31" s="224">
        <f>ROUND((+E31*F31*G31*H31),0)</f>
        <v>10662724</v>
      </c>
    </row>
    <row r="32" spans="1:17" s="11" customFormat="1" ht="31.2" x14ac:dyDescent="0.3">
      <c r="A32" s="59"/>
      <c r="B32" s="27"/>
      <c r="C32" s="217" t="s">
        <v>54</v>
      </c>
      <c r="D32" s="223" t="s">
        <v>50</v>
      </c>
      <c r="E32" s="87">
        <v>1</v>
      </c>
      <c r="F32" s="82">
        <v>686147</v>
      </c>
      <c r="G32" s="199">
        <v>1</v>
      </c>
      <c r="H32" s="201">
        <v>7.77</v>
      </c>
      <c r="I32" s="224">
        <f>ROUND((+E32*F32*G32*H32),0)</f>
        <v>5331362</v>
      </c>
    </row>
    <row r="33" spans="1:17" s="11" customFormat="1" ht="31.2" x14ac:dyDescent="0.3">
      <c r="A33" s="59"/>
      <c r="B33" s="27"/>
      <c r="C33" s="217" t="s">
        <v>53</v>
      </c>
      <c r="D33" s="223" t="s">
        <v>50</v>
      </c>
      <c r="E33" s="87"/>
      <c r="F33" s="82">
        <v>686147</v>
      </c>
      <c r="G33" s="199">
        <v>0</v>
      </c>
      <c r="H33" s="201">
        <v>0</v>
      </c>
      <c r="I33" s="224">
        <f t="shared" ref="I33" si="1">+E33*F33*G33*H33</f>
        <v>0</v>
      </c>
    </row>
    <row r="34" spans="1:17" s="11" customFormat="1" ht="31.2" x14ac:dyDescent="0.3">
      <c r="A34" s="59"/>
      <c r="B34" s="27"/>
      <c r="C34" s="217" t="s">
        <v>52</v>
      </c>
      <c r="D34" s="223" t="s">
        <v>50</v>
      </c>
      <c r="E34" s="87">
        <f>E18</f>
        <v>1</v>
      </c>
      <c r="F34" s="82">
        <v>686147</v>
      </c>
      <c r="G34" s="199">
        <v>1</v>
      </c>
      <c r="H34" s="201">
        <v>7.77</v>
      </c>
      <c r="I34" s="224">
        <f>ROUND((+E34*F34*G34*H34),0)</f>
        <v>5331362</v>
      </c>
    </row>
    <row r="35" spans="1:17" s="11" customFormat="1" ht="31.2" x14ac:dyDescent="0.3">
      <c r="A35" s="59"/>
      <c r="B35" s="27"/>
      <c r="C35" s="217" t="s">
        <v>51</v>
      </c>
      <c r="D35" s="223" t="s">
        <v>50</v>
      </c>
      <c r="E35" s="87">
        <v>3</v>
      </c>
      <c r="F35" s="82">
        <v>686147</v>
      </c>
      <c r="G35" s="199">
        <v>1</v>
      </c>
      <c r="H35" s="201">
        <v>7.77</v>
      </c>
      <c r="I35" s="224">
        <f>ROUND((+E35*F35*G35*H35),0)</f>
        <v>15994087</v>
      </c>
    </row>
    <row r="36" spans="1:17" s="11" customFormat="1" ht="23.4" thickBot="1" x14ac:dyDescent="0.3">
      <c r="A36" s="140"/>
      <c r="B36" s="213"/>
      <c r="C36" s="225" t="s">
        <v>49</v>
      </c>
      <c r="D36" s="225"/>
      <c r="E36" s="198"/>
      <c r="F36" s="198"/>
      <c r="G36" s="198"/>
      <c r="H36" s="277"/>
      <c r="I36" s="226">
        <f>I27+I28</f>
        <v>466443094</v>
      </c>
      <c r="J36" s="129"/>
      <c r="K36" s="129"/>
      <c r="L36" s="129"/>
      <c r="M36" s="129"/>
      <c r="N36" s="129"/>
      <c r="O36" s="129"/>
      <c r="P36" s="129"/>
      <c r="Q36" s="129"/>
    </row>
    <row r="37" spans="1:17" s="81" customFormat="1" ht="22.8" x14ac:dyDescent="0.3">
      <c r="A37" s="211" t="s">
        <v>48</v>
      </c>
      <c r="B37" s="267" t="s">
        <v>48</v>
      </c>
      <c r="C37" s="251" t="s">
        <v>47</v>
      </c>
      <c r="D37" s="251"/>
      <c r="E37" s="252"/>
      <c r="F37" s="253"/>
      <c r="G37" s="248"/>
      <c r="H37" s="258"/>
      <c r="I37" s="254"/>
    </row>
    <row r="38" spans="1:17" s="81" customFormat="1" ht="23.4" thickBot="1" x14ac:dyDescent="0.35">
      <c r="A38" s="209">
        <v>3</v>
      </c>
      <c r="B38" s="267">
        <v>3</v>
      </c>
      <c r="C38" s="251" t="s">
        <v>46</v>
      </c>
      <c r="D38" s="251"/>
      <c r="E38" s="252"/>
      <c r="F38" s="253"/>
      <c r="G38" s="248"/>
      <c r="H38" s="258"/>
      <c r="I38" s="254"/>
    </row>
    <row r="39" spans="1:17" s="81" customFormat="1" ht="66.75" customHeight="1" thickBot="1" x14ac:dyDescent="0.35">
      <c r="A39" s="210" t="s">
        <v>45</v>
      </c>
      <c r="B39" s="27"/>
      <c r="C39" s="227" t="s">
        <v>44</v>
      </c>
      <c r="D39" s="228" t="s">
        <v>43</v>
      </c>
      <c r="E39" s="228" t="s">
        <v>39</v>
      </c>
      <c r="F39" s="228" t="s">
        <v>42</v>
      </c>
      <c r="G39" s="228" t="s">
        <v>41</v>
      </c>
      <c r="H39" s="276" t="s">
        <v>38</v>
      </c>
      <c r="I39" s="229" t="s">
        <v>40</v>
      </c>
    </row>
    <row r="40" spans="1:17" s="81" customFormat="1" ht="60" x14ac:dyDescent="0.3">
      <c r="A40" s="94" t="s">
        <v>36</v>
      </c>
      <c r="B40" s="27" t="s">
        <v>36</v>
      </c>
      <c r="C40" s="230" t="s">
        <v>35</v>
      </c>
      <c r="D40" s="87" t="s">
        <v>6</v>
      </c>
      <c r="E40" s="75">
        <v>1</v>
      </c>
      <c r="F40" s="82">
        <v>6100000</v>
      </c>
      <c r="G40" s="78">
        <v>1</v>
      </c>
      <c r="H40" s="201">
        <v>7.77</v>
      </c>
      <c r="I40" s="231">
        <f>E40*F40*G40*H40</f>
        <v>47397000</v>
      </c>
    </row>
    <row r="41" spans="1:17" s="81" customFormat="1" ht="60" x14ac:dyDescent="0.3">
      <c r="A41" s="94" t="s">
        <v>36</v>
      </c>
      <c r="B41" s="27" t="s">
        <v>36</v>
      </c>
      <c r="C41" s="230" t="s">
        <v>35</v>
      </c>
      <c r="D41" s="87" t="s">
        <v>6</v>
      </c>
      <c r="E41" s="75">
        <v>1</v>
      </c>
      <c r="F41" s="82">
        <v>6100000</v>
      </c>
      <c r="G41" s="78">
        <v>1</v>
      </c>
      <c r="H41" s="201">
        <v>7</v>
      </c>
      <c r="I41" s="231">
        <f>E41*F41*G41*H41</f>
        <v>42700000</v>
      </c>
    </row>
    <row r="42" spans="1:17" s="81" customFormat="1" ht="22.8" x14ac:dyDescent="0.3">
      <c r="A42" s="84" t="s">
        <v>34</v>
      </c>
      <c r="B42" s="27" t="s">
        <v>34</v>
      </c>
      <c r="C42" s="230" t="s">
        <v>33</v>
      </c>
      <c r="D42" s="87" t="s">
        <v>6</v>
      </c>
      <c r="E42" s="75">
        <f>E19</f>
        <v>3</v>
      </c>
      <c r="F42" s="82">
        <v>600000</v>
      </c>
      <c r="G42" s="78">
        <v>1</v>
      </c>
      <c r="H42" s="201">
        <v>7.77</v>
      </c>
      <c r="I42" s="231">
        <f>E42*F42*G42*H42</f>
        <v>13986000</v>
      </c>
    </row>
    <row r="43" spans="1:17" s="81" customFormat="1" ht="22.8" x14ac:dyDescent="0.3">
      <c r="A43" s="84" t="s">
        <v>32</v>
      </c>
      <c r="B43" s="27" t="s">
        <v>32</v>
      </c>
      <c r="C43" s="198" t="s">
        <v>31</v>
      </c>
      <c r="D43" s="87" t="s">
        <v>6</v>
      </c>
      <c r="E43" s="75">
        <v>1</v>
      </c>
      <c r="F43" s="82">
        <v>200000</v>
      </c>
      <c r="G43" s="78">
        <v>1</v>
      </c>
      <c r="H43" s="201">
        <v>7.77</v>
      </c>
      <c r="I43" s="231">
        <f t="shared" ref="I43:I47" si="2">E43*F43*G43*H43</f>
        <v>1554000</v>
      </c>
    </row>
    <row r="44" spans="1:17" s="81" customFormat="1" ht="22.8" x14ac:dyDescent="0.3">
      <c r="A44" s="84" t="s">
        <v>30</v>
      </c>
      <c r="B44" s="27" t="s">
        <v>30</v>
      </c>
      <c r="C44" s="198" t="s">
        <v>29</v>
      </c>
      <c r="D44" s="87" t="s">
        <v>6</v>
      </c>
      <c r="E44" s="75">
        <v>7</v>
      </c>
      <c r="F44" s="82">
        <v>80000</v>
      </c>
      <c r="G44" s="78">
        <v>1</v>
      </c>
      <c r="H44" s="201">
        <v>7.77</v>
      </c>
      <c r="I44" s="231">
        <f>E44*F44*G44*H44</f>
        <v>4351200</v>
      </c>
    </row>
    <row r="45" spans="1:17" s="81" customFormat="1" ht="30" x14ac:dyDescent="0.3">
      <c r="A45" s="84" t="s">
        <v>28</v>
      </c>
      <c r="B45" s="27" t="s">
        <v>28</v>
      </c>
      <c r="C45" s="198" t="s">
        <v>27</v>
      </c>
      <c r="D45" s="87" t="s">
        <v>6</v>
      </c>
      <c r="E45" s="75">
        <v>10</v>
      </c>
      <c r="F45" s="82">
        <v>250000</v>
      </c>
      <c r="G45" s="78">
        <v>1</v>
      </c>
      <c r="H45" s="201">
        <v>7.77</v>
      </c>
      <c r="I45" s="231">
        <f>E45*F45*G45*H45</f>
        <v>19425000</v>
      </c>
    </row>
    <row r="46" spans="1:17" s="81" customFormat="1" ht="22.8" x14ac:dyDescent="0.3">
      <c r="A46" s="84" t="s">
        <v>26</v>
      </c>
      <c r="B46" s="27" t="s">
        <v>26</v>
      </c>
      <c r="C46" s="198" t="s">
        <v>25</v>
      </c>
      <c r="D46" s="87" t="s">
        <v>6</v>
      </c>
      <c r="E46" s="75">
        <v>1</v>
      </c>
      <c r="F46" s="82">
        <v>200000</v>
      </c>
      <c r="G46" s="78">
        <v>1</v>
      </c>
      <c r="H46" s="201">
        <v>7.77</v>
      </c>
      <c r="I46" s="231">
        <f>E46*F46*G46*H46</f>
        <v>1554000</v>
      </c>
    </row>
    <row r="47" spans="1:17" s="81" customFormat="1" ht="30" x14ac:dyDescent="0.3">
      <c r="A47" s="84" t="s">
        <v>24</v>
      </c>
      <c r="B47" s="27" t="s">
        <v>24</v>
      </c>
      <c r="C47" s="198" t="s">
        <v>23</v>
      </c>
      <c r="D47" s="87" t="s">
        <v>6</v>
      </c>
      <c r="E47" s="75">
        <v>1</v>
      </c>
      <c r="F47" s="82">
        <v>1300000</v>
      </c>
      <c r="G47" s="78">
        <v>1</v>
      </c>
      <c r="H47" s="201">
        <v>7.77</v>
      </c>
      <c r="I47" s="231">
        <f t="shared" si="2"/>
        <v>10101000</v>
      </c>
    </row>
    <row r="48" spans="1:17" s="81" customFormat="1" ht="105" x14ac:dyDescent="0.3">
      <c r="A48" s="84" t="s">
        <v>22</v>
      </c>
      <c r="B48" s="27" t="s">
        <v>22</v>
      </c>
      <c r="C48" s="198" t="s">
        <v>21</v>
      </c>
      <c r="D48" s="75" t="s">
        <v>20</v>
      </c>
      <c r="E48" s="75">
        <v>30</v>
      </c>
      <c r="F48" s="82">
        <v>700000</v>
      </c>
      <c r="G48" s="78">
        <v>1</v>
      </c>
      <c r="H48" s="201">
        <v>6.3</v>
      </c>
      <c r="I48" s="231">
        <f>E48*F48*G48*H48</f>
        <v>132300000</v>
      </c>
    </row>
    <row r="49" spans="1:12" s="81" customFormat="1" ht="45" x14ac:dyDescent="0.3">
      <c r="A49" s="84" t="s">
        <v>19</v>
      </c>
      <c r="B49" s="27" t="s">
        <v>19</v>
      </c>
      <c r="C49" s="198" t="s">
        <v>18</v>
      </c>
      <c r="D49" s="75"/>
      <c r="E49" s="75"/>
      <c r="F49" s="82"/>
      <c r="G49" s="78"/>
      <c r="H49" s="201"/>
      <c r="I49" s="231"/>
    </row>
    <row r="50" spans="1:12" s="81" customFormat="1" ht="22.8" x14ac:dyDescent="0.3">
      <c r="A50" s="84"/>
      <c r="B50" s="27"/>
      <c r="C50" s="198" t="s">
        <v>17</v>
      </c>
      <c r="D50" s="75" t="s">
        <v>6</v>
      </c>
      <c r="E50" s="75"/>
      <c r="F50" s="82">
        <v>55000</v>
      </c>
      <c r="G50" s="78">
        <v>1</v>
      </c>
      <c r="H50" s="201">
        <v>1</v>
      </c>
      <c r="I50" s="231">
        <f t="shared" ref="I50:I54" si="3">E50*F50*G50*H50</f>
        <v>0</v>
      </c>
    </row>
    <row r="51" spans="1:12" s="81" customFormat="1" ht="30" x14ac:dyDescent="0.3">
      <c r="A51" s="84"/>
      <c r="B51" s="27"/>
      <c r="C51" s="198" t="s">
        <v>16</v>
      </c>
      <c r="D51" s="75" t="s">
        <v>6</v>
      </c>
      <c r="E51" s="75"/>
      <c r="F51" s="82">
        <v>110800</v>
      </c>
      <c r="G51" s="78">
        <v>1</v>
      </c>
      <c r="H51" s="201">
        <v>1</v>
      </c>
      <c r="I51" s="231">
        <f t="shared" si="3"/>
        <v>0</v>
      </c>
    </row>
    <row r="52" spans="1:12" s="81" customFormat="1" ht="22.8" x14ac:dyDescent="0.3">
      <c r="A52" s="84"/>
      <c r="B52" s="27"/>
      <c r="C52" s="198" t="s">
        <v>15</v>
      </c>
      <c r="D52" s="75" t="s">
        <v>6</v>
      </c>
      <c r="E52" s="75"/>
      <c r="F52" s="82">
        <v>46000</v>
      </c>
      <c r="G52" s="78">
        <v>1</v>
      </c>
      <c r="H52" s="201">
        <v>1</v>
      </c>
      <c r="I52" s="231">
        <f t="shared" si="3"/>
        <v>0</v>
      </c>
    </row>
    <row r="53" spans="1:12" s="81" customFormat="1" ht="22.8" x14ac:dyDescent="0.3">
      <c r="A53" s="84"/>
      <c r="B53" s="27"/>
      <c r="C53" s="198" t="s">
        <v>14</v>
      </c>
      <c r="D53" s="75" t="s">
        <v>6</v>
      </c>
      <c r="E53" s="75"/>
      <c r="F53" s="82">
        <v>102350</v>
      </c>
      <c r="G53" s="78">
        <v>1</v>
      </c>
      <c r="H53" s="201">
        <v>1</v>
      </c>
      <c r="I53" s="231">
        <f t="shared" si="3"/>
        <v>0</v>
      </c>
    </row>
    <row r="54" spans="1:12" s="81" customFormat="1" ht="30" x14ac:dyDescent="0.3">
      <c r="A54" s="84"/>
      <c r="B54" s="27"/>
      <c r="C54" s="198" t="s">
        <v>13</v>
      </c>
      <c r="D54" s="75" t="s">
        <v>6</v>
      </c>
      <c r="E54" s="75"/>
      <c r="F54" s="82">
        <v>319500</v>
      </c>
      <c r="G54" s="78">
        <v>1</v>
      </c>
      <c r="H54" s="201">
        <v>1</v>
      </c>
      <c r="I54" s="231">
        <f t="shared" si="3"/>
        <v>0</v>
      </c>
    </row>
    <row r="55" spans="1:12" s="11" customFormat="1" ht="30" x14ac:dyDescent="0.3">
      <c r="A55" s="59"/>
      <c r="B55" s="27"/>
      <c r="C55" s="198" t="s">
        <v>12</v>
      </c>
      <c r="D55" s="75" t="s">
        <v>6</v>
      </c>
      <c r="E55" s="232">
        <v>330</v>
      </c>
      <c r="F55" s="82">
        <v>7650</v>
      </c>
      <c r="G55" s="78">
        <v>1</v>
      </c>
      <c r="H55" s="201">
        <v>1</v>
      </c>
      <c r="I55" s="231">
        <f>E55*F55*G55*H55</f>
        <v>2524500</v>
      </c>
      <c r="J55" s="269"/>
    </row>
    <row r="56" spans="1:12" s="11" customFormat="1" ht="22.8" x14ac:dyDescent="0.3">
      <c r="A56" s="59"/>
      <c r="B56" s="27"/>
      <c r="C56" s="198" t="s">
        <v>11</v>
      </c>
      <c r="D56" s="75" t="s">
        <v>6</v>
      </c>
      <c r="E56" s="232"/>
      <c r="F56" s="82">
        <v>93800</v>
      </c>
      <c r="G56" s="78">
        <v>1</v>
      </c>
      <c r="H56" s="201">
        <v>1</v>
      </c>
      <c r="I56" s="231">
        <f>E56*F56*G56*H56</f>
        <v>0</v>
      </c>
    </row>
    <row r="57" spans="1:12" s="11" customFormat="1" ht="22.8" x14ac:dyDescent="0.3">
      <c r="A57" s="59"/>
      <c r="B57" s="27"/>
      <c r="C57" s="198" t="s">
        <v>10</v>
      </c>
      <c r="D57" s="75" t="s">
        <v>6</v>
      </c>
      <c r="E57" s="232"/>
      <c r="F57" s="82">
        <v>60350</v>
      </c>
      <c r="G57" s="78">
        <v>1</v>
      </c>
      <c r="H57" s="201">
        <v>1</v>
      </c>
      <c r="I57" s="231">
        <f>E57*F57*G57*H57</f>
        <v>0</v>
      </c>
    </row>
    <row r="58" spans="1:12" s="11" customFormat="1" ht="29.25" customHeight="1" x14ac:dyDescent="0.3">
      <c r="A58" s="38"/>
      <c r="B58" s="267"/>
      <c r="C58" s="244" t="s">
        <v>5</v>
      </c>
      <c r="D58" s="244"/>
      <c r="E58" s="244"/>
      <c r="F58" s="244"/>
      <c r="G58" s="244"/>
      <c r="H58" s="273"/>
      <c r="I58" s="255">
        <f>SUM(I40:I57)</f>
        <v>275892700</v>
      </c>
    </row>
    <row r="59" spans="1:12" s="11" customFormat="1" ht="6.75" customHeight="1" x14ac:dyDescent="0.3">
      <c r="A59" s="59"/>
      <c r="B59" s="246"/>
      <c r="C59" s="256"/>
      <c r="D59" s="256"/>
      <c r="E59" s="247"/>
      <c r="F59" s="257"/>
      <c r="G59" s="257"/>
      <c r="H59" s="258"/>
      <c r="I59" s="259"/>
    </row>
    <row r="60" spans="1:12" s="11" customFormat="1" ht="34.5" customHeight="1" x14ac:dyDescent="0.3">
      <c r="A60" s="53" t="s">
        <v>4</v>
      </c>
      <c r="B60" s="267"/>
      <c r="C60" s="284" t="s">
        <v>3</v>
      </c>
      <c r="D60" s="284"/>
      <c r="E60" s="284"/>
      <c r="F60" s="284"/>
      <c r="G60" s="284"/>
      <c r="H60" s="284"/>
      <c r="I60" s="259">
        <f>I36+I58</f>
        <v>742335794</v>
      </c>
      <c r="K60" s="1"/>
    </row>
    <row r="61" spans="1:12" s="11" customFormat="1" ht="6.75" customHeight="1" x14ac:dyDescent="0.3">
      <c r="A61" s="48"/>
      <c r="B61" s="246"/>
      <c r="C61" s="244"/>
      <c r="D61" s="244"/>
      <c r="E61" s="266"/>
      <c r="F61" s="265"/>
      <c r="G61" s="265"/>
      <c r="H61" s="260"/>
      <c r="I61" s="259"/>
      <c r="K61" s="1"/>
    </row>
    <row r="62" spans="1:12" s="11" customFormat="1" ht="32.25" customHeight="1" x14ac:dyDescent="0.3">
      <c r="A62" s="38"/>
      <c r="B62" s="246"/>
      <c r="C62" s="244" t="s">
        <v>2</v>
      </c>
      <c r="D62" s="244"/>
      <c r="E62" s="266"/>
      <c r="F62" s="265"/>
      <c r="G62" s="261"/>
      <c r="H62" s="260"/>
      <c r="I62" s="283">
        <f>+ROUND(I60*0.19,2)</f>
        <v>141043800.86000001</v>
      </c>
      <c r="K62" s="1"/>
    </row>
    <row r="63" spans="1:12" s="11" customFormat="1" ht="23.4" thickBot="1" x14ac:dyDescent="0.35">
      <c r="A63" s="24"/>
      <c r="B63" s="262"/>
      <c r="C63" s="263" t="s">
        <v>1</v>
      </c>
      <c r="D63" s="264"/>
      <c r="E63" s="264"/>
      <c r="F63" s="264"/>
      <c r="G63" s="264"/>
      <c r="H63" s="278"/>
      <c r="I63" s="271">
        <f>+I60+I62</f>
        <v>883379594.86000001</v>
      </c>
      <c r="K63" s="1"/>
      <c r="L63" s="212"/>
    </row>
    <row r="64" spans="1:12" ht="19.5" customHeight="1" x14ac:dyDescent="0.3">
      <c r="B64" s="233"/>
      <c r="C64" s="234"/>
      <c r="D64" s="234"/>
      <c r="E64" s="234"/>
      <c r="F64" s="234"/>
      <c r="G64" s="234"/>
      <c r="H64" s="279"/>
      <c r="I64" s="235"/>
    </row>
    <row r="65" spans="2:11" ht="66" customHeight="1" x14ac:dyDescent="0.3">
      <c r="B65" s="236"/>
      <c r="C65" s="237"/>
      <c r="D65" s="237"/>
      <c r="E65" s="237"/>
      <c r="F65" s="237"/>
      <c r="G65" s="240"/>
      <c r="H65" s="280"/>
      <c r="I65" s="241"/>
      <c r="K65" s="270"/>
    </row>
    <row r="66" spans="2:11" x14ac:dyDescent="0.3">
      <c r="B66" s="236"/>
      <c r="C66" s="237"/>
      <c r="D66" s="237"/>
      <c r="E66" s="237"/>
      <c r="F66" s="237"/>
      <c r="G66" s="285" t="s">
        <v>111</v>
      </c>
      <c r="H66" s="285"/>
      <c r="I66" s="286"/>
    </row>
    <row r="67" spans="2:11" x14ac:dyDescent="0.3">
      <c r="B67" s="236"/>
      <c r="C67" s="237"/>
      <c r="D67" s="237"/>
      <c r="E67" s="237"/>
      <c r="F67" s="237"/>
      <c r="G67" s="285" t="s">
        <v>112</v>
      </c>
      <c r="H67" s="285"/>
      <c r="I67" s="286"/>
    </row>
    <row r="68" spans="2:11" x14ac:dyDescent="0.3">
      <c r="B68" s="236"/>
      <c r="C68" s="237"/>
      <c r="D68" s="237"/>
      <c r="E68" s="237"/>
      <c r="F68" s="237"/>
      <c r="G68" s="285" t="s">
        <v>113</v>
      </c>
      <c r="H68" s="285"/>
      <c r="I68" s="286"/>
    </row>
    <row r="69" spans="2:11" ht="14.4" thickBot="1" x14ac:dyDescent="0.35">
      <c r="B69" s="238"/>
      <c r="C69" s="239"/>
      <c r="D69" s="239"/>
      <c r="E69" s="239"/>
      <c r="F69" s="239"/>
      <c r="G69" s="242"/>
      <c r="H69" s="281"/>
      <c r="I69" s="243"/>
    </row>
  </sheetData>
  <mergeCells count="20">
    <mergeCell ref="A6:A8"/>
    <mergeCell ref="B6:B8"/>
    <mergeCell ref="C6:C8"/>
    <mergeCell ref="D6:D8"/>
    <mergeCell ref="E6:E8"/>
    <mergeCell ref="B1:I1"/>
    <mergeCell ref="B2:I2"/>
    <mergeCell ref="B3:I3"/>
    <mergeCell ref="B4:I4"/>
    <mergeCell ref="B5:I5"/>
    <mergeCell ref="C60:H60"/>
    <mergeCell ref="G66:I66"/>
    <mergeCell ref="G67:I67"/>
    <mergeCell ref="G68:I68"/>
    <mergeCell ref="F6:F8"/>
    <mergeCell ref="G6:G8"/>
    <mergeCell ref="H6:H8"/>
    <mergeCell ref="I6:I8"/>
    <mergeCell ref="C25:H25"/>
    <mergeCell ref="C27:G27"/>
  </mergeCells>
  <dataValidations count="1">
    <dataValidation type="whole" allowBlank="1" showInputMessage="1" showErrorMessage="1" errorTitle="EDU" error="Utilice Números Enteros" promptTitle="EDU" prompt="Utilice Números Enteros" sqref="F11:F24" xr:uid="{00000000-0002-0000-0000-000000000000}">
      <formula1>0</formula1>
      <formula2>900000000</formula2>
    </dataValidation>
  </dataValidations>
  <pageMargins left="0.7" right="0.27559055118110237" top="1.29" bottom="0.74803149606299213" header="0.31496062992125984" footer="0.31496062992125984"/>
  <pageSetup paperSize="172" scale="54" orientation="portrait" r:id="rId1"/>
  <rowBreaks count="1" manualBreakCount="1">
    <brk id="36" max="8" man="1"/>
  </rowBreaks>
  <colBreaks count="1" manualBreakCount="1">
    <brk id="9" min="3" max="6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90"/>
  <sheetViews>
    <sheetView topLeftCell="B1" zoomScale="85" zoomScaleNormal="85" workbookViewId="0">
      <pane xSplit="3" ySplit="5" topLeftCell="E52" activePane="bottomRight" state="frozen"/>
      <selection activeCell="B1" sqref="B1"/>
      <selection pane="topRight" activeCell="E1" sqref="E1"/>
      <selection pane="bottomLeft" activeCell="B6" sqref="B6"/>
      <selection pane="bottomRight" activeCell="AF63" sqref="AF63"/>
    </sheetView>
  </sheetViews>
  <sheetFormatPr baseColWidth="10" defaultColWidth="11.44140625" defaultRowHeight="13.8" x14ac:dyDescent="0.3"/>
  <cols>
    <col min="1" max="1" width="12.5546875" style="3" hidden="1" customWidth="1"/>
    <col min="2" max="2" width="68.88671875" style="1" customWidth="1"/>
    <col min="3" max="3" width="12.6640625" style="1" customWidth="1"/>
    <col min="4" max="4" width="13" style="1" customWidth="1"/>
    <col min="5" max="5" width="17.109375" style="1" customWidth="1"/>
    <col min="6" max="6" width="11.6640625" style="3" customWidth="1"/>
    <col min="7" max="7" width="9.5546875" style="3" customWidth="1"/>
    <col min="8" max="8" width="19.6640625" style="1" customWidth="1"/>
    <col min="9" max="9" width="9.88671875" style="1" hidden="1" customWidth="1"/>
    <col min="10" max="10" width="14.6640625" style="2" hidden="1" customWidth="1"/>
    <col min="11" max="11" width="9.6640625" style="1" hidden="1" customWidth="1"/>
    <col min="12" max="12" width="14.6640625" style="2" hidden="1" customWidth="1"/>
    <col min="13" max="13" width="9.6640625" style="1" hidden="1" customWidth="1"/>
    <col min="14" max="14" width="14.6640625" style="2" hidden="1" customWidth="1"/>
    <col min="15" max="15" width="9.6640625" style="1" hidden="1" customWidth="1"/>
    <col min="16" max="16" width="14.6640625" style="2" hidden="1" customWidth="1"/>
    <col min="17" max="17" width="9.88671875" style="1" hidden="1" customWidth="1"/>
    <col min="18" max="18" width="14.6640625" style="2" hidden="1" customWidth="1"/>
    <col min="19" max="19" width="9.6640625" style="1" hidden="1" customWidth="1"/>
    <col min="20" max="20" width="14.6640625" style="2" hidden="1" customWidth="1"/>
    <col min="21" max="21" width="9.6640625" style="1" hidden="1" customWidth="1"/>
    <col min="22" max="22" width="14.6640625" style="2" hidden="1" customWidth="1"/>
    <col min="23" max="23" width="9.6640625" style="1" hidden="1" customWidth="1"/>
    <col min="24" max="24" width="19.5546875" style="2" hidden="1" customWidth="1"/>
    <col min="25" max="25" width="9.6640625" style="1" hidden="1" customWidth="1"/>
    <col min="26" max="26" width="19.5546875" style="2" hidden="1" customWidth="1"/>
    <col min="27" max="27" width="9.6640625" style="1" hidden="1" customWidth="1"/>
    <col min="28" max="28" width="19.5546875" style="2" hidden="1" customWidth="1"/>
    <col min="29" max="29" width="9.6640625" style="1" hidden="1" customWidth="1"/>
    <col min="30" max="30" width="19.5546875" style="2" hidden="1" customWidth="1"/>
    <col min="31" max="32" width="19.5546875" style="2" customWidth="1"/>
    <col min="33" max="33" width="9.6640625" style="1" hidden="1" customWidth="1"/>
    <col min="34" max="34" width="19.5546875" style="2" hidden="1" customWidth="1"/>
    <col min="35" max="35" width="9.6640625" style="1" hidden="1" customWidth="1"/>
    <col min="36" max="36" width="14.6640625" style="2" hidden="1" customWidth="1"/>
    <col min="37" max="37" width="9.6640625" style="1" hidden="1" customWidth="1"/>
    <col min="38" max="38" width="17" style="2" hidden="1" customWidth="1"/>
    <col min="39" max="39" width="9.6640625" style="1" hidden="1" customWidth="1"/>
    <col min="40" max="40" width="16.109375" style="2" hidden="1" customWidth="1"/>
    <col min="41" max="41" width="9.6640625" style="1" hidden="1" customWidth="1"/>
    <col min="42" max="42" width="16.33203125" style="2" hidden="1" customWidth="1"/>
    <col min="43" max="43" width="9.6640625" style="1" hidden="1" customWidth="1"/>
    <col min="44" max="44" width="16.6640625" style="2" hidden="1" customWidth="1"/>
    <col min="45" max="45" width="9.6640625" style="1" hidden="1" customWidth="1"/>
    <col min="46" max="46" width="17.6640625" style="2" hidden="1" customWidth="1"/>
    <col min="47" max="47" width="9.6640625" style="1" hidden="1" customWidth="1"/>
    <col min="48" max="48" width="16.5546875" style="2" hidden="1" customWidth="1"/>
    <col min="49" max="49" width="9.6640625" style="1" hidden="1" customWidth="1"/>
    <col min="50" max="50" width="17.6640625" style="2" hidden="1" customWidth="1"/>
    <col min="51" max="51" width="9.6640625" style="1" hidden="1" customWidth="1"/>
    <col min="52" max="52" width="18.33203125" style="2" hidden="1" customWidth="1"/>
    <col min="53" max="53" width="22.109375" style="1" customWidth="1"/>
    <col min="54" max="54" width="25.33203125" style="1" customWidth="1"/>
    <col min="55" max="55" width="22.6640625" style="1" hidden="1" customWidth="1"/>
    <col min="56" max="56" width="28.6640625" style="1" hidden="1" customWidth="1"/>
    <col min="57" max="57" width="3.6640625" style="1" customWidth="1"/>
    <col min="58" max="58" width="23.44140625" style="1" bestFit="1" customWidth="1"/>
    <col min="59" max="59" width="24.44140625" style="1" bestFit="1" customWidth="1"/>
    <col min="60" max="60" width="23.44140625" style="1" bestFit="1" customWidth="1"/>
    <col min="61" max="61" width="24.44140625" style="1" bestFit="1" customWidth="1"/>
    <col min="62" max="62" width="23.44140625" style="1" bestFit="1" customWidth="1"/>
    <col min="63" max="63" width="24.44140625" style="1" bestFit="1" customWidth="1"/>
    <col min="64" max="64" width="23.44140625" style="1" bestFit="1" customWidth="1"/>
    <col min="65" max="65" width="24.44140625" style="1" bestFit="1" customWidth="1"/>
    <col min="66" max="66" width="23.44140625" style="1" bestFit="1" customWidth="1"/>
    <col min="67" max="67" width="24.44140625" style="1" bestFit="1" customWidth="1"/>
    <col min="68" max="68" width="20.88671875" style="1" bestFit="1" customWidth="1"/>
    <col min="69" max="16384" width="11.44140625" style="1"/>
  </cols>
  <sheetData>
    <row r="1" spans="1:58" s="194" customFormat="1" ht="4.5" customHeight="1" thickBot="1" x14ac:dyDescent="0.35">
      <c r="A1" s="197"/>
      <c r="B1" s="196"/>
      <c r="C1" s="195"/>
      <c r="D1" s="195"/>
      <c r="E1" s="58"/>
      <c r="F1" s="58"/>
      <c r="G1" s="58"/>
      <c r="H1" s="58"/>
      <c r="I1" s="40"/>
      <c r="J1" s="46"/>
      <c r="K1" s="40"/>
      <c r="L1" s="46"/>
      <c r="M1" s="40"/>
      <c r="N1" s="46"/>
      <c r="O1" s="40"/>
      <c r="P1" s="46"/>
      <c r="Q1" s="40"/>
      <c r="R1" s="46"/>
      <c r="S1" s="40"/>
      <c r="T1" s="46"/>
      <c r="U1" s="40"/>
      <c r="V1" s="46"/>
      <c r="W1" s="40"/>
      <c r="X1" s="46"/>
      <c r="Y1" s="40"/>
      <c r="Z1" s="46"/>
      <c r="AA1" s="40"/>
      <c r="AB1" s="46"/>
      <c r="AC1" s="40"/>
      <c r="AD1" s="46"/>
      <c r="AE1" s="46"/>
      <c r="AF1" s="46"/>
      <c r="AG1" s="40"/>
      <c r="AH1" s="46"/>
      <c r="AI1" s="40"/>
      <c r="AJ1" s="46"/>
      <c r="AK1" s="40"/>
      <c r="AL1" s="46"/>
      <c r="AM1" s="40"/>
      <c r="AN1" s="46"/>
      <c r="AO1" s="40"/>
      <c r="AP1" s="46"/>
      <c r="AQ1" s="40"/>
      <c r="AR1" s="46"/>
      <c r="AS1" s="40"/>
      <c r="AT1" s="46"/>
      <c r="AU1" s="40"/>
      <c r="AV1" s="46"/>
      <c r="AW1" s="40"/>
      <c r="AX1" s="46"/>
      <c r="AY1" s="40"/>
      <c r="AZ1" s="46"/>
      <c r="BA1" s="40"/>
      <c r="BB1" s="40"/>
      <c r="BC1" s="40"/>
      <c r="BD1" s="40"/>
    </row>
    <row r="2" spans="1:58" s="192" customFormat="1" ht="21.75" customHeight="1" thickBot="1" x14ac:dyDescent="0.35">
      <c r="A2" s="309" t="s">
        <v>45</v>
      </c>
      <c r="B2" s="312" t="s">
        <v>44</v>
      </c>
      <c r="C2" s="315" t="s">
        <v>103</v>
      </c>
      <c r="D2" s="308"/>
      <c r="E2" s="308"/>
      <c r="F2" s="308"/>
      <c r="G2" s="308"/>
      <c r="H2" s="316"/>
      <c r="I2" s="307">
        <v>44075</v>
      </c>
      <c r="J2" s="308"/>
      <c r="K2" s="307">
        <v>44105</v>
      </c>
      <c r="L2" s="308"/>
      <c r="M2" s="307">
        <v>44136</v>
      </c>
      <c r="N2" s="308"/>
      <c r="O2" s="307">
        <v>44166</v>
      </c>
      <c r="P2" s="308"/>
      <c r="Q2" s="307">
        <v>44197</v>
      </c>
      <c r="R2" s="308"/>
      <c r="S2" s="307">
        <v>44228</v>
      </c>
      <c r="T2" s="308"/>
      <c r="U2" s="307">
        <v>44256</v>
      </c>
      <c r="V2" s="308"/>
      <c r="W2" s="307">
        <v>44287</v>
      </c>
      <c r="X2" s="308"/>
      <c r="Y2" s="307">
        <v>44317</v>
      </c>
      <c r="Z2" s="308"/>
      <c r="AA2" s="307">
        <v>44348</v>
      </c>
      <c r="AB2" s="308"/>
      <c r="AC2" s="307">
        <v>44378</v>
      </c>
      <c r="AD2" s="308"/>
      <c r="AE2" s="193"/>
      <c r="AF2" s="193"/>
      <c r="AG2" s="307">
        <v>44409</v>
      </c>
      <c r="AH2" s="308"/>
      <c r="AI2" s="307">
        <v>44440</v>
      </c>
      <c r="AJ2" s="308"/>
      <c r="AK2" s="307">
        <v>44470</v>
      </c>
      <c r="AL2" s="308"/>
      <c r="AM2" s="307">
        <v>44501</v>
      </c>
      <c r="AN2" s="308"/>
      <c r="AO2" s="307">
        <v>44531</v>
      </c>
      <c r="AP2" s="308"/>
      <c r="AQ2" s="307">
        <v>44562</v>
      </c>
      <c r="AR2" s="308"/>
      <c r="AS2" s="307">
        <v>44593</v>
      </c>
      <c r="AT2" s="308"/>
      <c r="AU2" s="307">
        <v>44621</v>
      </c>
      <c r="AV2" s="308"/>
      <c r="AW2" s="307">
        <v>44652</v>
      </c>
      <c r="AX2" s="308"/>
      <c r="AY2" s="307">
        <v>44682</v>
      </c>
      <c r="AZ2" s="308"/>
      <c r="BA2" s="315" t="s">
        <v>0</v>
      </c>
      <c r="BB2" s="316"/>
      <c r="BC2" s="308" t="s">
        <v>102</v>
      </c>
      <c r="BD2" s="316"/>
      <c r="BE2" s="40"/>
    </row>
    <row r="3" spans="1:58" s="40" customFormat="1" ht="23.25" customHeight="1" x14ac:dyDescent="0.3">
      <c r="A3" s="310"/>
      <c r="B3" s="313"/>
      <c r="C3" s="310" t="s">
        <v>43</v>
      </c>
      <c r="D3" s="310" t="s">
        <v>39</v>
      </c>
      <c r="E3" s="189" t="s">
        <v>101</v>
      </c>
      <c r="F3" s="189" t="s">
        <v>41</v>
      </c>
      <c r="G3" s="189" t="s">
        <v>99</v>
      </c>
      <c r="H3" s="189" t="s">
        <v>42</v>
      </c>
      <c r="I3" s="317" t="s">
        <v>41</v>
      </c>
      <c r="J3" s="320" t="s">
        <v>42</v>
      </c>
      <c r="K3" s="317" t="s">
        <v>41</v>
      </c>
      <c r="L3" s="320" t="s">
        <v>42</v>
      </c>
      <c r="M3" s="317" t="s">
        <v>41</v>
      </c>
      <c r="N3" s="320" t="s">
        <v>42</v>
      </c>
      <c r="O3" s="317" t="s">
        <v>41</v>
      </c>
      <c r="P3" s="320" t="s">
        <v>42</v>
      </c>
      <c r="Q3" s="317" t="s">
        <v>41</v>
      </c>
      <c r="R3" s="320" t="s">
        <v>42</v>
      </c>
      <c r="S3" s="317" t="s">
        <v>41</v>
      </c>
      <c r="T3" s="320" t="s">
        <v>42</v>
      </c>
      <c r="U3" s="317" t="s">
        <v>41</v>
      </c>
      <c r="V3" s="320" t="s">
        <v>42</v>
      </c>
      <c r="W3" s="317" t="s">
        <v>41</v>
      </c>
      <c r="X3" s="320" t="s">
        <v>42</v>
      </c>
      <c r="Y3" s="317" t="s">
        <v>41</v>
      </c>
      <c r="Z3" s="320" t="s">
        <v>42</v>
      </c>
      <c r="AA3" s="317" t="s">
        <v>41</v>
      </c>
      <c r="AB3" s="320" t="s">
        <v>42</v>
      </c>
      <c r="AC3" s="317" t="s">
        <v>41</v>
      </c>
      <c r="AD3" s="320" t="s">
        <v>42</v>
      </c>
      <c r="AE3" s="323" t="s">
        <v>100</v>
      </c>
      <c r="AF3" s="324"/>
      <c r="AG3" s="317" t="s">
        <v>41</v>
      </c>
      <c r="AH3" s="320" t="s">
        <v>42</v>
      </c>
      <c r="AI3" s="317" t="s">
        <v>41</v>
      </c>
      <c r="AJ3" s="320" t="s">
        <v>42</v>
      </c>
      <c r="AK3" s="317" t="s">
        <v>41</v>
      </c>
      <c r="AL3" s="320" t="s">
        <v>42</v>
      </c>
      <c r="AM3" s="317" t="s">
        <v>41</v>
      </c>
      <c r="AN3" s="320" t="s">
        <v>42</v>
      </c>
      <c r="AO3" s="317" t="s">
        <v>41</v>
      </c>
      <c r="AP3" s="320" t="s">
        <v>42</v>
      </c>
      <c r="AQ3" s="317" t="s">
        <v>41</v>
      </c>
      <c r="AR3" s="320" t="s">
        <v>42</v>
      </c>
      <c r="AS3" s="317" t="s">
        <v>41</v>
      </c>
      <c r="AT3" s="320" t="s">
        <v>42</v>
      </c>
      <c r="AU3" s="317" t="s">
        <v>41</v>
      </c>
      <c r="AV3" s="320" t="s">
        <v>42</v>
      </c>
      <c r="AW3" s="317" t="s">
        <v>41</v>
      </c>
      <c r="AX3" s="320" t="s">
        <v>42</v>
      </c>
      <c r="AY3" s="317" t="s">
        <v>41</v>
      </c>
      <c r="AZ3" s="320" t="s">
        <v>42</v>
      </c>
      <c r="BA3" s="190" t="s">
        <v>99</v>
      </c>
      <c r="BB3" s="190" t="s">
        <v>42</v>
      </c>
      <c r="BC3" s="191" t="s">
        <v>99</v>
      </c>
      <c r="BD3" s="190" t="s">
        <v>42</v>
      </c>
    </row>
    <row r="4" spans="1:58" s="40" customFormat="1" ht="23.25" customHeight="1" x14ac:dyDescent="0.3">
      <c r="A4" s="310"/>
      <c r="B4" s="313"/>
      <c r="C4" s="310"/>
      <c r="D4" s="310"/>
      <c r="E4" s="189" t="s">
        <v>98</v>
      </c>
      <c r="F4" s="189" t="s">
        <v>95</v>
      </c>
      <c r="G4" s="189" t="s">
        <v>97</v>
      </c>
      <c r="H4" s="189" t="s">
        <v>96</v>
      </c>
      <c r="I4" s="318"/>
      <c r="J4" s="321"/>
      <c r="K4" s="318"/>
      <c r="L4" s="321"/>
      <c r="M4" s="318"/>
      <c r="N4" s="321"/>
      <c r="O4" s="318"/>
      <c r="P4" s="321"/>
      <c r="Q4" s="318"/>
      <c r="R4" s="321"/>
      <c r="S4" s="318"/>
      <c r="T4" s="321"/>
      <c r="U4" s="318"/>
      <c r="V4" s="321"/>
      <c r="W4" s="318"/>
      <c r="X4" s="321"/>
      <c r="Y4" s="318"/>
      <c r="Z4" s="321"/>
      <c r="AA4" s="318"/>
      <c r="AB4" s="321"/>
      <c r="AC4" s="318"/>
      <c r="AD4" s="321"/>
      <c r="AE4" s="189"/>
      <c r="AF4" s="189"/>
      <c r="AG4" s="318"/>
      <c r="AH4" s="321"/>
      <c r="AI4" s="318"/>
      <c r="AJ4" s="321"/>
      <c r="AK4" s="318"/>
      <c r="AL4" s="321"/>
      <c r="AM4" s="318"/>
      <c r="AN4" s="321"/>
      <c r="AO4" s="318"/>
      <c r="AP4" s="321"/>
      <c r="AQ4" s="318"/>
      <c r="AR4" s="321"/>
      <c r="AS4" s="318"/>
      <c r="AT4" s="321"/>
      <c r="AU4" s="318"/>
      <c r="AV4" s="321"/>
      <c r="AW4" s="318"/>
      <c r="AX4" s="321"/>
      <c r="AY4" s="318"/>
      <c r="AZ4" s="321"/>
      <c r="BA4" s="189" t="s">
        <v>97</v>
      </c>
      <c r="BB4" s="189" t="s">
        <v>96</v>
      </c>
      <c r="BC4" s="188" t="s">
        <v>97</v>
      </c>
      <c r="BD4" s="189" t="s">
        <v>96</v>
      </c>
    </row>
    <row r="5" spans="1:58" s="40" customFormat="1" ht="23.25" customHeight="1" thickBot="1" x14ac:dyDescent="0.35">
      <c r="A5" s="311"/>
      <c r="B5" s="314"/>
      <c r="C5" s="311"/>
      <c r="D5" s="311"/>
      <c r="E5" s="187" t="s">
        <v>95</v>
      </c>
      <c r="F5" s="187" t="s">
        <v>94</v>
      </c>
      <c r="G5" s="187" t="s">
        <v>93</v>
      </c>
      <c r="H5" s="187" t="s">
        <v>92</v>
      </c>
      <c r="I5" s="319"/>
      <c r="J5" s="322"/>
      <c r="K5" s="319"/>
      <c r="L5" s="322"/>
      <c r="M5" s="319"/>
      <c r="N5" s="322"/>
      <c r="O5" s="319"/>
      <c r="P5" s="322"/>
      <c r="Q5" s="319"/>
      <c r="R5" s="322"/>
      <c r="S5" s="319"/>
      <c r="T5" s="322"/>
      <c r="U5" s="319"/>
      <c r="V5" s="322"/>
      <c r="W5" s="319"/>
      <c r="X5" s="322"/>
      <c r="Y5" s="319"/>
      <c r="Z5" s="322"/>
      <c r="AA5" s="319"/>
      <c r="AB5" s="322"/>
      <c r="AC5" s="319"/>
      <c r="AD5" s="322"/>
      <c r="AE5" s="187" t="s">
        <v>39</v>
      </c>
      <c r="AF5" s="187" t="s">
        <v>42</v>
      </c>
      <c r="AG5" s="319"/>
      <c r="AH5" s="322"/>
      <c r="AI5" s="319"/>
      <c r="AJ5" s="322"/>
      <c r="AK5" s="319"/>
      <c r="AL5" s="322"/>
      <c r="AM5" s="319"/>
      <c r="AN5" s="322"/>
      <c r="AO5" s="319"/>
      <c r="AP5" s="322"/>
      <c r="AQ5" s="319"/>
      <c r="AR5" s="322"/>
      <c r="AS5" s="319"/>
      <c r="AT5" s="322"/>
      <c r="AU5" s="319"/>
      <c r="AV5" s="322"/>
      <c r="AW5" s="319"/>
      <c r="AX5" s="322"/>
      <c r="AY5" s="319"/>
      <c r="AZ5" s="322"/>
      <c r="BA5" s="187" t="s">
        <v>93</v>
      </c>
      <c r="BB5" s="187" t="s">
        <v>92</v>
      </c>
      <c r="BC5" s="186" t="s">
        <v>93</v>
      </c>
      <c r="BD5" s="187" t="s">
        <v>92</v>
      </c>
    </row>
    <row r="6" spans="1:58" s="11" customFormat="1" ht="23.25" customHeight="1" x14ac:dyDescent="0.3">
      <c r="A6" s="185" t="s">
        <v>91</v>
      </c>
      <c r="B6" s="184" t="s">
        <v>90</v>
      </c>
      <c r="C6" s="181"/>
      <c r="D6" s="181"/>
      <c r="E6" s="181"/>
      <c r="F6" s="181"/>
      <c r="G6" s="179"/>
      <c r="H6" s="179"/>
      <c r="I6" s="179"/>
      <c r="J6" s="183">
        <f>24/30</f>
        <v>0.8</v>
      </c>
      <c r="K6" s="179"/>
      <c r="L6" s="181"/>
      <c r="M6" s="179"/>
      <c r="N6" s="181"/>
      <c r="O6" s="179"/>
      <c r="P6" s="181"/>
      <c r="Q6" s="179"/>
      <c r="R6" s="182"/>
      <c r="S6" s="179"/>
      <c r="T6" s="181"/>
      <c r="U6" s="179"/>
      <c r="V6" s="181"/>
      <c r="W6" s="179"/>
      <c r="X6" s="181"/>
      <c r="Y6" s="179"/>
      <c r="Z6" s="181"/>
      <c r="AA6" s="179"/>
      <c r="AB6" s="181"/>
      <c r="AC6" s="179"/>
      <c r="AD6" s="181"/>
      <c r="AE6" s="181"/>
      <c r="AF6" s="181"/>
      <c r="AG6" s="179"/>
      <c r="AH6" s="181"/>
      <c r="AI6" s="179"/>
      <c r="AJ6" s="181"/>
      <c r="AK6" s="179"/>
      <c r="AL6" s="181"/>
      <c r="AM6" s="179"/>
      <c r="AN6" s="181"/>
      <c r="AO6" s="179"/>
      <c r="AP6" s="181"/>
      <c r="AQ6" s="179"/>
      <c r="AR6" s="181"/>
      <c r="AS6" s="179"/>
      <c r="AT6" s="181"/>
      <c r="AU6" s="179"/>
      <c r="AV6" s="181"/>
      <c r="AW6" s="179"/>
      <c r="AX6" s="181"/>
      <c r="AY6" s="179"/>
      <c r="AZ6" s="181"/>
      <c r="BA6" s="180"/>
      <c r="BB6" s="178"/>
      <c r="BC6" s="179"/>
      <c r="BD6" s="178"/>
    </row>
    <row r="7" spans="1:58" s="11" customFormat="1" ht="22.8" x14ac:dyDescent="0.3">
      <c r="A7" s="59">
        <v>1</v>
      </c>
      <c r="B7" s="169" t="s">
        <v>89</v>
      </c>
      <c r="C7" s="36"/>
      <c r="D7" s="177"/>
      <c r="E7" s="175"/>
      <c r="F7" s="149"/>
      <c r="G7" s="176"/>
      <c r="H7" s="175"/>
      <c r="I7" s="149"/>
      <c r="J7" s="174"/>
      <c r="K7" s="149"/>
      <c r="L7" s="174"/>
      <c r="M7" s="149"/>
      <c r="N7" s="174"/>
      <c r="O7" s="149"/>
      <c r="P7" s="174"/>
      <c r="Q7" s="149"/>
      <c r="R7" s="174"/>
      <c r="S7" s="149"/>
      <c r="T7" s="174"/>
      <c r="U7" s="149"/>
      <c r="V7" s="174"/>
      <c r="W7" s="149"/>
      <c r="X7" s="174"/>
      <c r="Y7" s="149"/>
      <c r="Z7" s="174"/>
      <c r="AA7" s="149"/>
      <c r="AB7" s="174"/>
      <c r="AC7" s="149"/>
      <c r="AD7" s="174"/>
      <c r="AE7" s="174"/>
      <c r="AF7" s="174"/>
      <c r="AG7" s="149"/>
      <c r="AH7" s="174"/>
      <c r="AI7" s="149"/>
      <c r="AJ7" s="174"/>
      <c r="AK7" s="149"/>
      <c r="AL7" s="174"/>
      <c r="AM7" s="149"/>
      <c r="AN7" s="174"/>
      <c r="AO7" s="149"/>
      <c r="AP7" s="174"/>
      <c r="AQ7" s="149"/>
      <c r="AR7" s="174"/>
      <c r="AS7" s="149"/>
      <c r="AT7" s="174"/>
      <c r="AU7" s="149"/>
      <c r="AV7" s="174"/>
      <c r="AW7" s="149"/>
      <c r="AX7" s="174"/>
      <c r="AY7" s="149"/>
      <c r="AZ7" s="174"/>
      <c r="BA7" s="62"/>
      <c r="BB7" s="172"/>
      <c r="BC7" s="173"/>
      <c r="BD7" s="172"/>
    </row>
    <row r="8" spans="1:58" s="11" customFormat="1" ht="22.8" x14ac:dyDescent="0.3">
      <c r="A8" s="38" t="s">
        <v>88</v>
      </c>
      <c r="B8" s="171" t="s">
        <v>87</v>
      </c>
      <c r="C8" s="166" t="s">
        <v>64</v>
      </c>
      <c r="D8" s="144">
        <v>1</v>
      </c>
      <c r="E8" s="70">
        <v>6400000</v>
      </c>
      <c r="F8" s="142">
        <v>1</v>
      </c>
      <c r="G8" s="142">
        <v>16</v>
      </c>
      <c r="H8" s="143">
        <f t="shared" ref="H8:H18" si="0">+D8*E8*F8*G8</f>
        <v>102400000</v>
      </c>
      <c r="I8" s="142"/>
      <c r="J8" s="66"/>
      <c r="K8" s="142"/>
      <c r="L8" s="66"/>
      <c r="M8" s="142"/>
      <c r="N8" s="66"/>
      <c r="O8" s="142"/>
      <c r="P8" s="66">
        <f>ROUND(E8*O8,0)</f>
        <v>0</v>
      </c>
      <c r="Q8" s="142">
        <f>0.8</f>
        <v>0.8</v>
      </c>
      <c r="R8" s="66">
        <f>ROUND(+F8*Q8*E8,0)</f>
        <v>5120000</v>
      </c>
      <c r="S8" s="142">
        <v>1</v>
      </c>
      <c r="T8" s="66">
        <f>ROUND(E8*S8*F8,0)</f>
        <v>6400000</v>
      </c>
      <c r="U8" s="142">
        <v>1</v>
      </c>
      <c r="V8" s="66">
        <f>ROUND(E8*U8*F8,0)</f>
        <v>6400000</v>
      </c>
      <c r="W8" s="142">
        <v>1</v>
      </c>
      <c r="X8" s="66">
        <f>ROUND(E8*W8*F8,0)</f>
        <v>6400000</v>
      </c>
      <c r="Y8" s="142">
        <v>1</v>
      </c>
      <c r="Z8" s="66">
        <f>ROUND(E8*Y8*F8,0)</f>
        <v>6400000</v>
      </c>
      <c r="AA8" s="142">
        <v>1</v>
      </c>
      <c r="AB8" s="66">
        <f>ROUND(E8*AA8*F8,0)</f>
        <v>6400000</v>
      </c>
      <c r="AC8" s="142">
        <v>1</v>
      </c>
      <c r="AD8" s="66">
        <f>ROUND(E8*AC8*F8,0)</f>
        <v>6400000</v>
      </c>
      <c r="AE8" s="66"/>
      <c r="AF8" s="66"/>
      <c r="AG8" s="142">
        <v>1</v>
      </c>
      <c r="AH8" s="66">
        <f>ROUND(E8*AG8*F8,0)</f>
        <v>6400000</v>
      </c>
      <c r="AI8" s="142">
        <v>1</v>
      </c>
      <c r="AJ8" s="66">
        <f>ROUND(E8*AI8*F8,0)</f>
        <v>6400000</v>
      </c>
      <c r="AK8" s="142">
        <v>1</v>
      </c>
      <c r="AL8" s="66">
        <f>ROUND(E8*AK8*F8,0)</f>
        <v>6400000</v>
      </c>
      <c r="AM8" s="142">
        <v>1</v>
      </c>
      <c r="AN8" s="66">
        <f>ROUND(E8*AM8*F8,0)</f>
        <v>6400000</v>
      </c>
      <c r="AO8" s="142">
        <v>1</v>
      </c>
      <c r="AP8" s="66">
        <f>ROUND(E8*AO8*F8,0)</f>
        <v>6400000</v>
      </c>
      <c r="AQ8" s="142">
        <v>1</v>
      </c>
      <c r="AR8" s="66">
        <f>ROUND(E8*AQ8*F8,0)</f>
        <v>6400000</v>
      </c>
      <c r="AS8" s="142">
        <v>1</v>
      </c>
      <c r="AT8" s="66">
        <f>ROUND(E8*AS8*F8,0)</f>
        <v>6400000</v>
      </c>
      <c r="AU8" s="142">
        <v>1</v>
      </c>
      <c r="AV8" s="66">
        <f>ROUND(E8*AU8*F8,0)</f>
        <v>6400000</v>
      </c>
      <c r="AW8" s="142">
        <v>1</v>
      </c>
      <c r="AX8" s="66">
        <f>ROUND(E8*AW8*F8,0)</f>
        <v>6400000</v>
      </c>
      <c r="AY8" s="142">
        <f>1*0.2</f>
        <v>0.2</v>
      </c>
      <c r="AZ8" s="66">
        <f>ROUND($E$8*AY8*$D$8,0)</f>
        <v>1280000</v>
      </c>
      <c r="BA8" s="62">
        <f t="shared" ref="BA8:BA18" si="1">SUM(I8+K8+M8+O8+Q8+S8+U8+W8+Y8+AA8+AC8+AG8+AI8+AK8+AM8+AO8+AQ8+AS8+AU8+AW8+AY8)+AE8</f>
        <v>16</v>
      </c>
      <c r="BB8" s="61">
        <f t="shared" ref="BB8:BB18" si="2">+J8+L8+N8+P8+R8+T8+V8+X8+Z8+AB8+AD8+AH8+AJ8+AL8+AN8+AP8+AR8+AT8+AV8+AX8+AZ8+AF8</f>
        <v>102400000</v>
      </c>
      <c r="BC8" s="141">
        <f t="shared" ref="BC8:BD11" si="3">G8-BA8</f>
        <v>0</v>
      </c>
      <c r="BD8" s="61">
        <f t="shared" si="3"/>
        <v>0</v>
      </c>
    </row>
    <row r="9" spans="1:58" s="11" customFormat="1" ht="22.8" x14ac:dyDescent="0.3">
      <c r="A9" s="38"/>
      <c r="B9" s="171" t="s">
        <v>86</v>
      </c>
      <c r="C9" s="166" t="s">
        <v>64</v>
      </c>
      <c r="D9" s="144">
        <v>1</v>
      </c>
      <c r="E9" s="70">
        <v>6400000</v>
      </c>
      <c r="F9" s="142">
        <v>0.1</v>
      </c>
      <c r="G9" s="142">
        <v>4</v>
      </c>
      <c r="H9" s="143">
        <f t="shared" si="0"/>
        <v>2560000</v>
      </c>
      <c r="I9" s="142">
        <v>0.8</v>
      </c>
      <c r="J9" s="66">
        <f>ROUND(+I9*$E$9*$F$9,0)</f>
        <v>512000</v>
      </c>
      <c r="K9" s="142">
        <v>1</v>
      </c>
      <c r="L9" s="66">
        <f>ROUND(+K9*$E$9*$F$9,0)</f>
        <v>640000</v>
      </c>
      <c r="M9" s="142">
        <v>1</v>
      </c>
      <c r="N9" s="66">
        <f>ROUND(+M9*$E$9*$F$9,0)</f>
        <v>640000</v>
      </c>
      <c r="O9" s="142">
        <v>1</v>
      </c>
      <c r="P9" s="66">
        <f>ROUND(+O9*$E$9*$F$9,0)</f>
        <v>640000</v>
      </c>
      <c r="Q9" s="149">
        <v>0.2</v>
      </c>
      <c r="R9" s="66">
        <f>ROUND(+F9*Q9*E9,0)</f>
        <v>128000</v>
      </c>
      <c r="S9" s="142"/>
      <c r="T9" s="66">
        <f>ROUND(E9*S9*F9,0)</f>
        <v>0</v>
      </c>
      <c r="U9" s="142"/>
      <c r="V9" s="66">
        <f>ROUND(E9*U9*F9,0)</f>
        <v>0</v>
      </c>
      <c r="W9" s="142"/>
      <c r="X9" s="66">
        <f>ROUND(E9*W9*F9,0)</f>
        <v>0</v>
      </c>
      <c r="Y9" s="142"/>
      <c r="Z9" s="66">
        <f>ROUND(E9*Y9*F9,0)</f>
        <v>0</v>
      </c>
      <c r="AA9" s="142"/>
      <c r="AB9" s="66">
        <f>ROUND(E9*AA9*F9,0)</f>
        <v>0</v>
      </c>
      <c r="AC9" s="142"/>
      <c r="AD9" s="66">
        <f>ROUND(E9*AC9*F9,0)</f>
        <v>0</v>
      </c>
      <c r="AE9" s="66"/>
      <c r="AF9" s="66"/>
      <c r="AG9" s="142"/>
      <c r="AH9" s="66">
        <f>ROUND(E9*AG9*F9,0)</f>
        <v>0</v>
      </c>
      <c r="AI9" s="142"/>
      <c r="AJ9" s="66">
        <f>ROUND(E9*AI9*F9,0)</f>
        <v>0</v>
      </c>
      <c r="AK9" s="142"/>
      <c r="AL9" s="66">
        <f>ROUND(E9*AK9*F9,0)</f>
        <v>0</v>
      </c>
      <c r="AM9" s="142"/>
      <c r="AN9" s="66">
        <f>ROUND(E9*AM9*F9,0)</f>
        <v>0</v>
      </c>
      <c r="AO9" s="142"/>
      <c r="AP9" s="66">
        <f>ROUND(E9*AO9*F9,0)</f>
        <v>0</v>
      </c>
      <c r="AQ9" s="142"/>
      <c r="AR9" s="66">
        <f>ROUND(E9*AQ9*F9,0)</f>
        <v>0</v>
      </c>
      <c r="AS9" s="142"/>
      <c r="AT9" s="66">
        <f>ROUND(E9*AS9*F9,0)</f>
        <v>0</v>
      </c>
      <c r="AU9" s="142"/>
      <c r="AV9" s="66">
        <f>ROUND(E9*AU9*F9,0)</f>
        <v>0</v>
      </c>
      <c r="AW9" s="142"/>
      <c r="AX9" s="66">
        <f>ROUND(E9*AW9*F9,0)</f>
        <v>0</v>
      </c>
      <c r="AY9" s="142"/>
      <c r="AZ9" s="66">
        <f>ROUND($E$8*AY9*$D$8,0)</f>
        <v>0</v>
      </c>
      <c r="BA9" s="62">
        <f t="shared" si="1"/>
        <v>4</v>
      </c>
      <c r="BB9" s="61">
        <f t="shared" si="2"/>
        <v>2560000</v>
      </c>
      <c r="BC9" s="141">
        <f t="shared" si="3"/>
        <v>0</v>
      </c>
      <c r="BD9" s="61">
        <f t="shared" si="3"/>
        <v>0</v>
      </c>
    </row>
    <row r="10" spans="1:58" s="11" customFormat="1" ht="22.8" x14ac:dyDescent="0.3">
      <c r="A10" s="38" t="s">
        <v>85</v>
      </c>
      <c r="B10" s="170" t="s">
        <v>84</v>
      </c>
      <c r="C10" s="52" t="s">
        <v>64</v>
      </c>
      <c r="D10" s="144">
        <v>1</v>
      </c>
      <c r="E10" s="70">
        <v>4500000</v>
      </c>
      <c r="F10" s="142">
        <v>0.3</v>
      </c>
      <c r="G10" s="142">
        <v>15</v>
      </c>
      <c r="H10" s="143">
        <f t="shared" si="0"/>
        <v>20250000</v>
      </c>
      <c r="I10" s="142"/>
      <c r="J10" s="66"/>
      <c r="K10" s="142"/>
      <c r="L10" s="66"/>
      <c r="M10" s="142"/>
      <c r="N10" s="66"/>
      <c r="O10" s="142"/>
      <c r="P10" s="66">
        <f>ROUND(E10*O10,0)</f>
        <v>0</v>
      </c>
      <c r="Q10" s="149">
        <f>0.8</f>
        <v>0.8</v>
      </c>
      <c r="R10" s="66">
        <f>ROUND(+F10*Q10*E10,0)</f>
        <v>1080000</v>
      </c>
      <c r="S10" s="142">
        <v>1</v>
      </c>
      <c r="T10" s="66">
        <f>ROUND(E10*S10*F10,0)</f>
        <v>1350000</v>
      </c>
      <c r="U10" s="142">
        <v>1</v>
      </c>
      <c r="V10" s="66">
        <f>ROUND(E10*U10*F10,0)</f>
        <v>1350000</v>
      </c>
      <c r="W10" s="142">
        <v>1</v>
      </c>
      <c r="X10" s="66">
        <f>ROUND(E10*W10*F10,0)</f>
        <v>1350000</v>
      </c>
      <c r="Y10" s="142">
        <v>1</v>
      </c>
      <c r="Z10" s="66">
        <f>ROUND(E10*Y10*F10,0)</f>
        <v>1350000</v>
      </c>
      <c r="AA10" s="142">
        <v>1</v>
      </c>
      <c r="AB10" s="66">
        <f>ROUND(E10*AA10*F10,0)</f>
        <v>1350000</v>
      </c>
      <c r="AC10" s="142">
        <v>1</v>
      </c>
      <c r="AD10" s="66">
        <f>ROUND(E10*AC10*F10,0)</f>
        <v>1350000</v>
      </c>
      <c r="AE10" s="66"/>
      <c r="AF10" s="66"/>
      <c r="AG10" s="142">
        <v>1</v>
      </c>
      <c r="AH10" s="66">
        <f>ROUND(E10*AG10*F10,0)</f>
        <v>1350000</v>
      </c>
      <c r="AI10" s="142">
        <v>1</v>
      </c>
      <c r="AJ10" s="66">
        <f>ROUND(E10*AI10*F10,0)</f>
        <v>1350000</v>
      </c>
      <c r="AK10" s="142">
        <v>1</v>
      </c>
      <c r="AL10" s="66">
        <f>ROUND(E10*AK10*F10,0)</f>
        <v>1350000</v>
      </c>
      <c r="AM10" s="142">
        <v>1</v>
      </c>
      <c r="AN10" s="66">
        <f>ROUND(E10*AM10*F10,0)</f>
        <v>1350000</v>
      </c>
      <c r="AO10" s="142">
        <v>1</v>
      </c>
      <c r="AP10" s="66">
        <f>ROUND(E10*AO10*F10,0)</f>
        <v>1350000</v>
      </c>
      <c r="AQ10" s="142">
        <v>1</v>
      </c>
      <c r="AR10" s="66">
        <f>ROUND(E10*AQ10*F10,0)</f>
        <v>1350000</v>
      </c>
      <c r="AS10" s="142">
        <v>1</v>
      </c>
      <c r="AT10" s="66">
        <f>ROUND(E10*AS10*F10,0)</f>
        <v>1350000</v>
      </c>
      <c r="AU10" s="142">
        <v>1</v>
      </c>
      <c r="AV10" s="66">
        <f>ROUND(E10*AU10*F10,0)</f>
        <v>1350000</v>
      </c>
      <c r="AW10" s="142">
        <v>0.2</v>
      </c>
      <c r="AX10" s="66">
        <f>ROUND(E10*AW10*F10,0)</f>
        <v>270000</v>
      </c>
      <c r="AY10" s="142"/>
      <c r="AZ10" s="66">
        <f>ROUND($E$8*AY10*$D$8,0)</f>
        <v>0</v>
      </c>
      <c r="BA10" s="62">
        <f t="shared" si="1"/>
        <v>15</v>
      </c>
      <c r="BB10" s="61">
        <f t="shared" si="2"/>
        <v>20250000</v>
      </c>
      <c r="BC10" s="141">
        <f t="shared" si="3"/>
        <v>0</v>
      </c>
      <c r="BD10" s="61">
        <f t="shared" si="3"/>
        <v>0</v>
      </c>
    </row>
    <row r="11" spans="1:58" s="11" customFormat="1" ht="22.8" x14ac:dyDescent="0.3">
      <c r="A11" s="59" t="s">
        <v>83</v>
      </c>
      <c r="B11" s="170" t="s">
        <v>82</v>
      </c>
      <c r="C11" s="52" t="s">
        <v>64</v>
      </c>
      <c r="D11" s="144">
        <v>1</v>
      </c>
      <c r="E11" s="70">
        <v>4500000</v>
      </c>
      <c r="F11" s="142">
        <v>1</v>
      </c>
      <c r="G11" s="142">
        <v>15</v>
      </c>
      <c r="H11" s="143">
        <f t="shared" si="0"/>
        <v>67500000</v>
      </c>
      <c r="I11" s="142"/>
      <c r="J11" s="66"/>
      <c r="K11" s="142"/>
      <c r="L11" s="66"/>
      <c r="M11" s="142"/>
      <c r="N11" s="66"/>
      <c r="O11" s="142"/>
      <c r="P11" s="66">
        <f>ROUND(E11*O11,0)</f>
        <v>0</v>
      </c>
      <c r="Q11" s="142">
        <f>0.8</f>
        <v>0.8</v>
      </c>
      <c r="R11" s="66">
        <f>ROUND(+F11*Q11*E11,0)</f>
        <v>3600000</v>
      </c>
      <c r="S11" s="142">
        <v>1</v>
      </c>
      <c r="T11" s="66">
        <f>ROUND(E11*S11*F11,0)</f>
        <v>4500000</v>
      </c>
      <c r="U11" s="142">
        <v>1</v>
      </c>
      <c r="V11" s="66">
        <f>ROUND(E11*U11*F11,0)</f>
        <v>4500000</v>
      </c>
      <c r="W11" s="142">
        <v>1</v>
      </c>
      <c r="X11" s="66">
        <f>ROUND(E11*W11*F11,0)</f>
        <v>4500000</v>
      </c>
      <c r="Y11" s="142">
        <v>1</v>
      </c>
      <c r="Z11" s="66">
        <f>ROUND(E11*Y11*F11,0)</f>
        <v>4500000</v>
      </c>
      <c r="AA11" s="142">
        <v>1</v>
      </c>
      <c r="AB11" s="66">
        <f>ROUND(E11*AA11*F11,0)</f>
        <v>4500000</v>
      </c>
      <c r="AC11" s="142">
        <v>1</v>
      </c>
      <c r="AD11" s="66">
        <f>ROUND(E11*AC11*F11,0)</f>
        <v>4500000</v>
      </c>
      <c r="AE11" s="66"/>
      <c r="AF11" s="66"/>
      <c r="AG11" s="142">
        <v>1</v>
      </c>
      <c r="AH11" s="66">
        <f>ROUND(E11*AG11*F11,0)</f>
        <v>4500000</v>
      </c>
      <c r="AI11" s="142">
        <v>1</v>
      </c>
      <c r="AJ11" s="66">
        <f>ROUND(E11*AI11*F11,0)</f>
        <v>4500000</v>
      </c>
      <c r="AK11" s="142">
        <v>1</v>
      </c>
      <c r="AL11" s="66">
        <f>ROUND(E11*AK11*F11,0)</f>
        <v>4500000</v>
      </c>
      <c r="AM11" s="142">
        <v>1</v>
      </c>
      <c r="AN11" s="66">
        <f>ROUND(E11*AM11*F11,0)</f>
        <v>4500000</v>
      </c>
      <c r="AO11" s="142">
        <v>1</v>
      </c>
      <c r="AP11" s="66">
        <f>ROUND(E11*AO11*F11,0)</f>
        <v>4500000</v>
      </c>
      <c r="AQ11" s="142">
        <v>1</v>
      </c>
      <c r="AR11" s="66">
        <f>ROUND(E11*AQ11*F11,0)</f>
        <v>4500000</v>
      </c>
      <c r="AS11" s="142">
        <v>1</v>
      </c>
      <c r="AT11" s="66">
        <f>ROUND(E11*AS11*F11,0)</f>
        <v>4500000</v>
      </c>
      <c r="AU11" s="142">
        <v>1</v>
      </c>
      <c r="AV11" s="66">
        <f>ROUND(E11*AU11*F11,0)</f>
        <v>4500000</v>
      </c>
      <c r="AW11" s="142">
        <v>0.2</v>
      </c>
      <c r="AX11" s="66">
        <f>ROUND(E11*AW11*F11,0)</f>
        <v>900000</v>
      </c>
      <c r="AY11" s="142"/>
      <c r="AZ11" s="66">
        <f>ROUND($E$8*AY11*$D$8,0)</f>
        <v>0</v>
      </c>
      <c r="BA11" s="62">
        <f t="shared" si="1"/>
        <v>15</v>
      </c>
      <c r="BB11" s="61">
        <f t="shared" si="2"/>
        <v>67500000</v>
      </c>
      <c r="BC11" s="141">
        <f t="shared" si="3"/>
        <v>0</v>
      </c>
      <c r="BD11" s="61">
        <f t="shared" si="3"/>
        <v>0</v>
      </c>
    </row>
    <row r="12" spans="1:58" s="11" customFormat="1" ht="22.8" x14ac:dyDescent="0.3">
      <c r="A12" s="59"/>
      <c r="B12" s="170" t="s">
        <v>81</v>
      </c>
      <c r="C12" s="52" t="s">
        <v>64</v>
      </c>
      <c r="D12" s="144">
        <v>1</v>
      </c>
      <c r="E12" s="70">
        <v>2500000</v>
      </c>
      <c r="F12" s="142">
        <v>1</v>
      </c>
      <c r="G12" s="142"/>
      <c r="H12" s="143">
        <f t="shared" si="0"/>
        <v>0</v>
      </c>
      <c r="I12" s="142"/>
      <c r="J12" s="66"/>
      <c r="K12" s="142"/>
      <c r="L12" s="66"/>
      <c r="M12" s="142"/>
      <c r="N12" s="66"/>
      <c r="O12" s="142"/>
      <c r="P12" s="66"/>
      <c r="Q12" s="142"/>
      <c r="R12" s="66"/>
      <c r="S12" s="142"/>
      <c r="T12" s="66"/>
      <c r="U12" s="142"/>
      <c r="V12" s="66"/>
      <c r="W12" s="142"/>
      <c r="X12" s="66"/>
      <c r="Y12" s="142"/>
      <c r="Z12" s="66"/>
      <c r="AA12" s="142"/>
      <c r="AB12" s="66"/>
      <c r="AC12" s="142"/>
      <c r="AD12" s="66"/>
      <c r="AE12" s="147">
        <v>7.5</v>
      </c>
      <c r="AF12" s="66">
        <f>ROUND(E12*AE12*F12,0)</f>
        <v>18750000</v>
      </c>
      <c r="AG12" s="142"/>
      <c r="AH12" s="66"/>
      <c r="AI12" s="142"/>
      <c r="AJ12" s="66"/>
      <c r="AK12" s="142"/>
      <c r="AL12" s="66"/>
      <c r="AM12" s="142"/>
      <c r="AN12" s="66"/>
      <c r="AO12" s="142"/>
      <c r="AP12" s="66"/>
      <c r="AQ12" s="142"/>
      <c r="AR12" s="66"/>
      <c r="AS12" s="142"/>
      <c r="AT12" s="66"/>
      <c r="AU12" s="142"/>
      <c r="AV12" s="66"/>
      <c r="AW12" s="142"/>
      <c r="AX12" s="66"/>
      <c r="AY12" s="142"/>
      <c r="AZ12" s="66"/>
      <c r="BA12" s="62">
        <f t="shared" si="1"/>
        <v>7.5</v>
      </c>
      <c r="BB12" s="61">
        <f t="shared" si="2"/>
        <v>18750000</v>
      </c>
      <c r="BC12" s="141"/>
      <c r="BD12" s="61"/>
    </row>
    <row r="13" spans="1:58" s="11" customFormat="1" ht="22.8" x14ac:dyDescent="0.3">
      <c r="A13" s="59" t="s">
        <v>80</v>
      </c>
      <c r="B13" s="170" t="s">
        <v>79</v>
      </c>
      <c r="C13" s="52" t="s">
        <v>64</v>
      </c>
      <c r="D13" s="144">
        <v>1</v>
      </c>
      <c r="E13" s="70">
        <v>3500000</v>
      </c>
      <c r="F13" s="142">
        <v>1</v>
      </c>
      <c r="G13" s="142">
        <v>15</v>
      </c>
      <c r="H13" s="143">
        <f t="shared" si="0"/>
        <v>52500000</v>
      </c>
      <c r="I13" s="142"/>
      <c r="J13" s="66"/>
      <c r="K13" s="142"/>
      <c r="L13" s="66"/>
      <c r="M13" s="142"/>
      <c r="N13" s="66"/>
      <c r="O13" s="142"/>
      <c r="P13" s="66">
        <f>ROUND(E13*O13,0)</f>
        <v>0</v>
      </c>
      <c r="Q13" s="142">
        <f>0.8</f>
        <v>0.8</v>
      </c>
      <c r="R13" s="66">
        <f t="shared" ref="R13:R18" si="4">ROUND(+F13*Q13*E13,0)</f>
        <v>2800000</v>
      </c>
      <c r="S13" s="142">
        <v>1</v>
      </c>
      <c r="T13" s="66">
        <f t="shared" ref="T13:T21" si="5">ROUND(E13*S13*F13,0)</f>
        <v>3500000</v>
      </c>
      <c r="U13" s="142">
        <v>1</v>
      </c>
      <c r="V13" s="66">
        <f t="shared" ref="V13:V21" si="6">ROUND(E13*U13*F13,0)</f>
        <v>3500000</v>
      </c>
      <c r="W13" s="142">
        <v>1</v>
      </c>
      <c r="X13" s="66">
        <f t="shared" ref="X13:X21" si="7">ROUND(E13*W13*F13,0)</f>
        <v>3500000</v>
      </c>
      <c r="Y13" s="142">
        <v>1</v>
      </c>
      <c r="Z13" s="66">
        <f t="shared" ref="Z13:Z21" si="8">ROUND(E13*Y13*F13,0)</f>
        <v>3500000</v>
      </c>
      <c r="AA13" s="142">
        <v>1</v>
      </c>
      <c r="AB13" s="66">
        <f t="shared" ref="AB13:AB21" si="9">ROUND(E13*AA13*F13,0)</f>
        <v>3500000</v>
      </c>
      <c r="AC13" s="142">
        <v>1</v>
      </c>
      <c r="AD13" s="66">
        <f t="shared" ref="AD13:AD21" si="10">ROUND(E13*AC13*F13,0)</f>
        <v>3500000</v>
      </c>
      <c r="AE13" s="66"/>
      <c r="AF13" s="66"/>
      <c r="AG13" s="142">
        <v>1</v>
      </c>
      <c r="AH13" s="66">
        <f t="shared" ref="AH13:AH21" si="11">ROUND(E13*AG13*F13,0)</f>
        <v>3500000</v>
      </c>
      <c r="AI13" s="142">
        <v>1</v>
      </c>
      <c r="AJ13" s="66">
        <f t="shared" ref="AJ13:AJ21" si="12">ROUND(E13*AI13*F13,0)</f>
        <v>3500000</v>
      </c>
      <c r="AK13" s="142">
        <v>1</v>
      </c>
      <c r="AL13" s="66">
        <f t="shared" ref="AL13:AL21" si="13">ROUND(E13*AK13*F13,0)</f>
        <v>3500000</v>
      </c>
      <c r="AM13" s="142">
        <v>1</v>
      </c>
      <c r="AN13" s="66">
        <f t="shared" ref="AN13:AN21" si="14">ROUND(E13*AM13*F13,0)</f>
        <v>3500000</v>
      </c>
      <c r="AO13" s="142">
        <v>1</v>
      </c>
      <c r="AP13" s="66">
        <f t="shared" ref="AP13:AP21" si="15">ROUND(E13*AO13*F13,0)</f>
        <v>3500000</v>
      </c>
      <c r="AQ13" s="142">
        <v>1</v>
      </c>
      <c r="AR13" s="66">
        <f t="shared" ref="AR13:AR21" si="16">ROUND(E13*AQ13*F13,0)</f>
        <v>3500000</v>
      </c>
      <c r="AS13" s="142">
        <v>1</v>
      </c>
      <c r="AT13" s="66">
        <f t="shared" ref="AT13:AT21" si="17">ROUND(E13*AS13*F13,0)</f>
        <v>3500000</v>
      </c>
      <c r="AU13" s="142">
        <v>1</v>
      </c>
      <c r="AV13" s="66">
        <f t="shared" ref="AV13:AV21" si="18">ROUND(E13*AU13*F13,0)</f>
        <v>3500000</v>
      </c>
      <c r="AW13" s="142">
        <v>0.2</v>
      </c>
      <c r="AX13" s="66">
        <f t="shared" ref="AX13:AX21" si="19">ROUND(E13*AW13*F13,0)</f>
        <v>700000</v>
      </c>
      <c r="AY13" s="142"/>
      <c r="AZ13" s="66">
        <f t="shared" ref="AZ13:AZ21" si="20">ROUND(E13*AY13*F13,0)</f>
        <v>0</v>
      </c>
      <c r="BA13" s="62">
        <f t="shared" si="1"/>
        <v>15</v>
      </c>
      <c r="BB13" s="61">
        <f t="shared" si="2"/>
        <v>52500000</v>
      </c>
      <c r="BC13" s="141">
        <f t="shared" ref="BC13:BD18" si="21">G13-BA13</f>
        <v>0</v>
      </c>
      <c r="BD13" s="61">
        <f t="shared" si="21"/>
        <v>0</v>
      </c>
    </row>
    <row r="14" spans="1:58" s="11" customFormat="1" ht="22.8" x14ac:dyDescent="0.3">
      <c r="A14" s="59"/>
      <c r="B14" s="170" t="s">
        <v>78</v>
      </c>
      <c r="C14" s="52" t="s">
        <v>64</v>
      </c>
      <c r="D14" s="144">
        <v>1</v>
      </c>
      <c r="E14" s="70">
        <v>3500000</v>
      </c>
      <c r="F14" s="142">
        <v>0.2</v>
      </c>
      <c r="G14" s="142">
        <v>4</v>
      </c>
      <c r="H14" s="143">
        <f t="shared" si="0"/>
        <v>2800000</v>
      </c>
      <c r="I14" s="142">
        <v>0.8</v>
      </c>
      <c r="J14" s="66">
        <f>ROUND(+I14*$E$14*$F$14,0)</f>
        <v>560000</v>
      </c>
      <c r="K14" s="142">
        <v>1</v>
      </c>
      <c r="L14" s="66">
        <f>ROUND(+K14*$E$14*$F$14,0)</f>
        <v>700000</v>
      </c>
      <c r="M14" s="142">
        <v>1</v>
      </c>
      <c r="N14" s="66">
        <f>ROUND(+M14*$E$14*$F$14,0)</f>
        <v>700000</v>
      </c>
      <c r="O14" s="142">
        <v>1</v>
      </c>
      <c r="P14" s="66">
        <f>ROUND(+O14*$E$14*$F$14,0)</f>
        <v>700000</v>
      </c>
      <c r="Q14" s="149">
        <v>0.2</v>
      </c>
      <c r="R14" s="66">
        <f t="shared" si="4"/>
        <v>140000</v>
      </c>
      <c r="S14" s="142"/>
      <c r="T14" s="66">
        <f t="shared" si="5"/>
        <v>0</v>
      </c>
      <c r="U14" s="142"/>
      <c r="V14" s="66">
        <f t="shared" si="6"/>
        <v>0</v>
      </c>
      <c r="W14" s="142"/>
      <c r="X14" s="66">
        <f t="shared" si="7"/>
        <v>0</v>
      </c>
      <c r="Y14" s="142">
        <v>0</v>
      </c>
      <c r="Z14" s="66">
        <f t="shared" si="8"/>
        <v>0</v>
      </c>
      <c r="AA14" s="142"/>
      <c r="AB14" s="66">
        <f t="shared" si="9"/>
        <v>0</v>
      </c>
      <c r="AC14" s="142"/>
      <c r="AD14" s="66">
        <f t="shared" si="10"/>
        <v>0</v>
      </c>
      <c r="AE14" s="66"/>
      <c r="AF14" s="66"/>
      <c r="AG14" s="142"/>
      <c r="AH14" s="66">
        <f t="shared" si="11"/>
        <v>0</v>
      </c>
      <c r="AI14" s="142"/>
      <c r="AJ14" s="66">
        <f t="shared" si="12"/>
        <v>0</v>
      </c>
      <c r="AK14" s="142"/>
      <c r="AL14" s="66">
        <f t="shared" si="13"/>
        <v>0</v>
      </c>
      <c r="AM14" s="142"/>
      <c r="AN14" s="66">
        <f t="shared" si="14"/>
        <v>0</v>
      </c>
      <c r="AO14" s="142"/>
      <c r="AP14" s="66">
        <f t="shared" si="15"/>
        <v>0</v>
      </c>
      <c r="AQ14" s="142"/>
      <c r="AR14" s="66">
        <f t="shared" si="16"/>
        <v>0</v>
      </c>
      <c r="AS14" s="142"/>
      <c r="AT14" s="66">
        <f t="shared" si="17"/>
        <v>0</v>
      </c>
      <c r="AU14" s="142"/>
      <c r="AV14" s="66">
        <f t="shared" si="18"/>
        <v>0</v>
      </c>
      <c r="AW14" s="142"/>
      <c r="AX14" s="66">
        <f t="shared" si="19"/>
        <v>0</v>
      </c>
      <c r="AY14" s="142"/>
      <c r="AZ14" s="66">
        <f t="shared" si="20"/>
        <v>0</v>
      </c>
      <c r="BA14" s="62">
        <f t="shared" si="1"/>
        <v>4</v>
      </c>
      <c r="BB14" s="61">
        <f t="shared" si="2"/>
        <v>2800000</v>
      </c>
      <c r="BC14" s="141">
        <f t="shared" si="21"/>
        <v>0</v>
      </c>
      <c r="BD14" s="61">
        <f t="shared" si="21"/>
        <v>0</v>
      </c>
    </row>
    <row r="15" spans="1:58" s="11" customFormat="1" ht="22.8" x14ac:dyDescent="0.3">
      <c r="A15" s="59" t="s">
        <v>77</v>
      </c>
      <c r="B15" s="146" t="s">
        <v>76</v>
      </c>
      <c r="C15" s="166" t="s">
        <v>64</v>
      </c>
      <c r="D15" s="144">
        <v>1</v>
      </c>
      <c r="E15" s="70">
        <v>2700000</v>
      </c>
      <c r="F15" s="142">
        <v>0.5</v>
      </c>
      <c r="G15" s="142">
        <v>15</v>
      </c>
      <c r="H15" s="143">
        <f t="shared" si="0"/>
        <v>20250000</v>
      </c>
      <c r="I15" s="142"/>
      <c r="J15" s="66"/>
      <c r="K15" s="142"/>
      <c r="L15" s="66"/>
      <c r="M15" s="142"/>
      <c r="N15" s="66"/>
      <c r="O15" s="142"/>
      <c r="P15" s="66">
        <f>ROUND(E15*O15,0)</f>
        <v>0</v>
      </c>
      <c r="Q15" s="142">
        <f>0.8</f>
        <v>0.8</v>
      </c>
      <c r="R15" s="66">
        <f t="shared" si="4"/>
        <v>1080000</v>
      </c>
      <c r="S15" s="142">
        <v>1</v>
      </c>
      <c r="T15" s="66">
        <f t="shared" si="5"/>
        <v>1350000</v>
      </c>
      <c r="U15" s="142">
        <v>1</v>
      </c>
      <c r="V15" s="66">
        <f t="shared" si="6"/>
        <v>1350000</v>
      </c>
      <c r="W15" s="142">
        <v>1</v>
      </c>
      <c r="X15" s="66">
        <f t="shared" si="7"/>
        <v>1350000</v>
      </c>
      <c r="Y15" s="142">
        <v>1</v>
      </c>
      <c r="Z15" s="66">
        <f t="shared" si="8"/>
        <v>1350000</v>
      </c>
      <c r="AA15" s="142">
        <v>1</v>
      </c>
      <c r="AB15" s="66">
        <f t="shared" si="9"/>
        <v>1350000</v>
      </c>
      <c r="AC15" s="142">
        <v>1</v>
      </c>
      <c r="AD15" s="66">
        <f t="shared" si="10"/>
        <v>1350000</v>
      </c>
      <c r="AE15" s="147">
        <v>7.5</v>
      </c>
      <c r="AF15" s="66">
        <f>ROUND(E15*AE15*F15,0)</f>
        <v>10125000</v>
      </c>
      <c r="AG15" s="142">
        <v>1</v>
      </c>
      <c r="AH15" s="66">
        <f t="shared" si="11"/>
        <v>1350000</v>
      </c>
      <c r="AI15" s="142">
        <v>1</v>
      </c>
      <c r="AJ15" s="66">
        <f t="shared" si="12"/>
        <v>1350000</v>
      </c>
      <c r="AK15" s="142">
        <v>1</v>
      </c>
      <c r="AL15" s="66">
        <f t="shared" si="13"/>
        <v>1350000</v>
      </c>
      <c r="AM15" s="142">
        <v>1</v>
      </c>
      <c r="AN15" s="66">
        <f t="shared" si="14"/>
        <v>1350000</v>
      </c>
      <c r="AO15" s="142">
        <v>1</v>
      </c>
      <c r="AP15" s="66">
        <f t="shared" si="15"/>
        <v>1350000</v>
      </c>
      <c r="AQ15" s="142">
        <v>1</v>
      </c>
      <c r="AR15" s="66">
        <f t="shared" si="16"/>
        <v>1350000</v>
      </c>
      <c r="AS15" s="142">
        <v>1</v>
      </c>
      <c r="AT15" s="66">
        <f t="shared" si="17"/>
        <v>1350000</v>
      </c>
      <c r="AU15" s="142">
        <v>1</v>
      </c>
      <c r="AV15" s="66">
        <f t="shared" si="18"/>
        <v>1350000</v>
      </c>
      <c r="AW15" s="142">
        <v>0.2</v>
      </c>
      <c r="AX15" s="66">
        <f t="shared" si="19"/>
        <v>270000</v>
      </c>
      <c r="AY15" s="142"/>
      <c r="AZ15" s="66">
        <f t="shared" si="20"/>
        <v>0</v>
      </c>
      <c r="BA15" s="62">
        <f t="shared" si="1"/>
        <v>22.5</v>
      </c>
      <c r="BB15" s="61">
        <f t="shared" si="2"/>
        <v>30375000</v>
      </c>
      <c r="BC15" s="141">
        <f t="shared" si="21"/>
        <v>-7.5</v>
      </c>
      <c r="BD15" s="61">
        <f t="shared" si="21"/>
        <v>-10125000</v>
      </c>
      <c r="BF15" s="12">
        <f>+H15+AF15</f>
        <v>30375000</v>
      </c>
    </row>
    <row r="16" spans="1:58" s="11" customFormat="1" ht="22.8" x14ac:dyDescent="0.3">
      <c r="A16" s="59" t="s">
        <v>75</v>
      </c>
      <c r="B16" s="146" t="s">
        <v>74</v>
      </c>
      <c r="C16" s="166" t="s">
        <v>64</v>
      </c>
      <c r="D16" s="144">
        <v>1</v>
      </c>
      <c r="E16" s="70">
        <v>2000000</v>
      </c>
      <c r="F16" s="142">
        <v>1</v>
      </c>
      <c r="G16" s="142">
        <v>15</v>
      </c>
      <c r="H16" s="143">
        <f t="shared" si="0"/>
        <v>30000000</v>
      </c>
      <c r="I16" s="142"/>
      <c r="J16" s="66"/>
      <c r="K16" s="142"/>
      <c r="L16" s="66"/>
      <c r="M16" s="142"/>
      <c r="N16" s="66"/>
      <c r="O16" s="142"/>
      <c r="P16" s="66">
        <f>ROUND(E16*O16,0)</f>
        <v>0</v>
      </c>
      <c r="Q16" s="142">
        <f>0.8</f>
        <v>0.8</v>
      </c>
      <c r="R16" s="66">
        <f t="shared" si="4"/>
        <v>1600000</v>
      </c>
      <c r="S16" s="142">
        <v>1</v>
      </c>
      <c r="T16" s="66">
        <f t="shared" si="5"/>
        <v>2000000</v>
      </c>
      <c r="U16" s="142">
        <v>1</v>
      </c>
      <c r="V16" s="66">
        <f t="shared" si="6"/>
        <v>2000000</v>
      </c>
      <c r="W16" s="142">
        <v>1</v>
      </c>
      <c r="X16" s="66">
        <f t="shared" si="7"/>
        <v>2000000</v>
      </c>
      <c r="Y16" s="142">
        <v>1</v>
      </c>
      <c r="Z16" s="66">
        <f t="shared" si="8"/>
        <v>2000000</v>
      </c>
      <c r="AA16" s="142">
        <v>1</v>
      </c>
      <c r="AB16" s="66">
        <f t="shared" si="9"/>
        <v>2000000</v>
      </c>
      <c r="AC16" s="142">
        <v>1</v>
      </c>
      <c r="AD16" s="66">
        <f t="shared" si="10"/>
        <v>2000000</v>
      </c>
      <c r="AE16" s="147">
        <v>7.5</v>
      </c>
      <c r="AF16" s="66">
        <f>ROUND(E16*AE16*F16,0)</f>
        <v>15000000</v>
      </c>
      <c r="AG16" s="142">
        <v>1</v>
      </c>
      <c r="AH16" s="66">
        <f t="shared" si="11"/>
        <v>2000000</v>
      </c>
      <c r="AI16" s="142">
        <v>1</v>
      </c>
      <c r="AJ16" s="66">
        <f t="shared" si="12"/>
        <v>2000000</v>
      </c>
      <c r="AK16" s="142">
        <v>1</v>
      </c>
      <c r="AL16" s="66">
        <f t="shared" si="13"/>
        <v>2000000</v>
      </c>
      <c r="AM16" s="142">
        <v>1</v>
      </c>
      <c r="AN16" s="66">
        <f t="shared" si="14"/>
        <v>2000000</v>
      </c>
      <c r="AO16" s="142">
        <v>1</v>
      </c>
      <c r="AP16" s="66">
        <f t="shared" si="15"/>
        <v>2000000</v>
      </c>
      <c r="AQ16" s="142">
        <v>1</v>
      </c>
      <c r="AR16" s="66">
        <f t="shared" si="16"/>
        <v>2000000</v>
      </c>
      <c r="AS16" s="142">
        <v>1</v>
      </c>
      <c r="AT16" s="66">
        <f t="shared" si="17"/>
        <v>2000000</v>
      </c>
      <c r="AU16" s="142">
        <v>1</v>
      </c>
      <c r="AV16" s="66">
        <f t="shared" si="18"/>
        <v>2000000</v>
      </c>
      <c r="AW16" s="142">
        <v>0.2</v>
      </c>
      <c r="AX16" s="66">
        <f t="shared" si="19"/>
        <v>400000</v>
      </c>
      <c r="AY16" s="142"/>
      <c r="AZ16" s="66">
        <f t="shared" si="20"/>
        <v>0</v>
      </c>
      <c r="BA16" s="62">
        <f t="shared" si="1"/>
        <v>22.5</v>
      </c>
      <c r="BB16" s="61">
        <f t="shared" si="2"/>
        <v>45000000</v>
      </c>
      <c r="BC16" s="141">
        <f t="shared" si="21"/>
        <v>-7.5</v>
      </c>
      <c r="BD16" s="61">
        <f t="shared" si="21"/>
        <v>-15000000</v>
      </c>
    </row>
    <row r="17" spans="1:68" s="11" customFormat="1" ht="22.8" x14ac:dyDescent="0.3">
      <c r="A17" s="59" t="s">
        <v>73</v>
      </c>
      <c r="B17" s="146" t="s">
        <v>72</v>
      </c>
      <c r="C17" s="166" t="s">
        <v>64</v>
      </c>
      <c r="D17" s="144">
        <v>1</v>
      </c>
      <c r="E17" s="70">
        <v>3435000</v>
      </c>
      <c r="F17" s="142">
        <v>0.2</v>
      </c>
      <c r="G17" s="142">
        <v>16</v>
      </c>
      <c r="H17" s="143">
        <f t="shared" si="0"/>
        <v>10992000</v>
      </c>
      <c r="I17" s="142"/>
      <c r="J17" s="66"/>
      <c r="K17" s="142"/>
      <c r="L17" s="66"/>
      <c r="M17" s="142"/>
      <c r="N17" s="66"/>
      <c r="O17" s="142"/>
      <c r="P17" s="66">
        <f>ROUND(E17*O17,0)</f>
        <v>0</v>
      </c>
      <c r="Q17" s="142">
        <f>0.8</f>
        <v>0.8</v>
      </c>
      <c r="R17" s="66">
        <f t="shared" si="4"/>
        <v>549600</v>
      </c>
      <c r="S17" s="142">
        <v>1</v>
      </c>
      <c r="T17" s="66">
        <f t="shared" si="5"/>
        <v>687000</v>
      </c>
      <c r="U17" s="142">
        <v>1</v>
      </c>
      <c r="V17" s="66">
        <f t="shared" si="6"/>
        <v>687000</v>
      </c>
      <c r="W17" s="142">
        <v>1</v>
      </c>
      <c r="X17" s="66">
        <f t="shared" si="7"/>
        <v>687000</v>
      </c>
      <c r="Y17" s="142">
        <v>1</v>
      </c>
      <c r="Z17" s="66">
        <f t="shared" si="8"/>
        <v>687000</v>
      </c>
      <c r="AA17" s="142">
        <v>1</v>
      </c>
      <c r="AB17" s="66">
        <f t="shared" si="9"/>
        <v>687000</v>
      </c>
      <c r="AC17" s="142">
        <v>1</v>
      </c>
      <c r="AD17" s="66">
        <f t="shared" si="10"/>
        <v>687000</v>
      </c>
      <c r="AE17" s="66"/>
      <c r="AF17" s="66"/>
      <c r="AG17" s="142">
        <v>1</v>
      </c>
      <c r="AH17" s="66">
        <f t="shared" si="11"/>
        <v>687000</v>
      </c>
      <c r="AI17" s="142">
        <v>1</v>
      </c>
      <c r="AJ17" s="66">
        <f t="shared" si="12"/>
        <v>687000</v>
      </c>
      <c r="AK17" s="142">
        <v>1</v>
      </c>
      <c r="AL17" s="66">
        <f t="shared" si="13"/>
        <v>687000</v>
      </c>
      <c r="AM17" s="142">
        <v>1</v>
      </c>
      <c r="AN17" s="66">
        <f t="shared" si="14"/>
        <v>687000</v>
      </c>
      <c r="AO17" s="142">
        <v>1</v>
      </c>
      <c r="AP17" s="66">
        <f t="shared" si="15"/>
        <v>687000</v>
      </c>
      <c r="AQ17" s="142">
        <v>1</v>
      </c>
      <c r="AR17" s="66">
        <f t="shared" si="16"/>
        <v>687000</v>
      </c>
      <c r="AS17" s="142">
        <v>1</v>
      </c>
      <c r="AT17" s="66">
        <f t="shared" si="17"/>
        <v>687000</v>
      </c>
      <c r="AU17" s="142">
        <v>1</v>
      </c>
      <c r="AV17" s="66">
        <f t="shared" si="18"/>
        <v>687000</v>
      </c>
      <c r="AW17" s="142">
        <v>1</v>
      </c>
      <c r="AX17" s="66">
        <f t="shared" si="19"/>
        <v>687000</v>
      </c>
      <c r="AY17" s="142">
        <v>0.2</v>
      </c>
      <c r="AZ17" s="66">
        <f t="shared" si="20"/>
        <v>137400</v>
      </c>
      <c r="BA17" s="62">
        <f t="shared" si="1"/>
        <v>16</v>
      </c>
      <c r="BB17" s="61">
        <f t="shared" si="2"/>
        <v>10992000</v>
      </c>
      <c r="BC17" s="141">
        <f t="shared" si="21"/>
        <v>0</v>
      </c>
      <c r="BD17" s="61">
        <f t="shared" si="21"/>
        <v>0</v>
      </c>
    </row>
    <row r="18" spans="1:68" s="11" customFormat="1" ht="22.8" x14ac:dyDescent="0.3">
      <c r="A18" s="59" t="s">
        <v>71</v>
      </c>
      <c r="B18" s="146" t="s">
        <v>70</v>
      </c>
      <c r="C18" s="166" t="s">
        <v>64</v>
      </c>
      <c r="D18" s="144">
        <v>1</v>
      </c>
      <c r="E18" s="70">
        <v>5000000</v>
      </c>
      <c r="F18" s="142">
        <v>0.2</v>
      </c>
      <c r="G18" s="142">
        <v>16</v>
      </c>
      <c r="H18" s="143">
        <f t="shared" si="0"/>
        <v>16000000</v>
      </c>
      <c r="I18" s="142"/>
      <c r="J18" s="66"/>
      <c r="K18" s="142"/>
      <c r="L18" s="66"/>
      <c r="M18" s="142"/>
      <c r="N18" s="66"/>
      <c r="O18" s="142"/>
      <c r="P18" s="66">
        <f>ROUND(E18*O18,0)</f>
        <v>0</v>
      </c>
      <c r="Q18" s="142">
        <f>0.8</f>
        <v>0.8</v>
      </c>
      <c r="R18" s="66">
        <f t="shared" si="4"/>
        <v>800000</v>
      </c>
      <c r="S18" s="142">
        <v>1</v>
      </c>
      <c r="T18" s="66">
        <f t="shared" si="5"/>
        <v>1000000</v>
      </c>
      <c r="U18" s="142">
        <v>1</v>
      </c>
      <c r="V18" s="66">
        <f t="shared" si="6"/>
        <v>1000000</v>
      </c>
      <c r="W18" s="142">
        <v>1</v>
      </c>
      <c r="X18" s="66">
        <f t="shared" si="7"/>
        <v>1000000</v>
      </c>
      <c r="Y18" s="142">
        <v>1</v>
      </c>
      <c r="Z18" s="66">
        <f t="shared" si="8"/>
        <v>1000000</v>
      </c>
      <c r="AA18" s="142">
        <v>1</v>
      </c>
      <c r="AB18" s="66">
        <f t="shared" si="9"/>
        <v>1000000</v>
      </c>
      <c r="AC18" s="142">
        <v>1</v>
      </c>
      <c r="AD18" s="66">
        <f t="shared" si="10"/>
        <v>1000000</v>
      </c>
      <c r="AE18" s="66"/>
      <c r="AF18" s="66"/>
      <c r="AG18" s="142">
        <v>1</v>
      </c>
      <c r="AH18" s="66">
        <f t="shared" si="11"/>
        <v>1000000</v>
      </c>
      <c r="AI18" s="142">
        <v>1</v>
      </c>
      <c r="AJ18" s="66">
        <f t="shared" si="12"/>
        <v>1000000</v>
      </c>
      <c r="AK18" s="142">
        <v>1</v>
      </c>
      <c r="AL18" s="66">
        <f t="shared" si="13"/>
        <v>1000000</v>
      </c>
      <c r="AM18" s="142">
        <v>1</v>
      </c>
      <c r="AN18" s="66">
        <f t="shared" si="14"/>
        <v>1000000</v>
      </c>
      <c r="AO18" s="142">
        <v>1</v>
      </c>
      <c r="AP18" s="66">
        <f t="shared" si="15"/>
        <v>1000000</v>
      </c>
      <c r="AQ18" s="142">
        <v>1</v>
      </c>
      <c r="AR18" s="66">
        <f t="shared" si="16"/>
        <v>1000000</v>
      </c>
      <c r="AS18" s="142">
        <v>1</v>
      </c>
      <c r="AT18" s="66">
        <f t="shared" si="17"/>
        <v>1000000</v>
      </c>
      <c r="AU18" s="142">
        <v>1</v>
      </c>
      <c r="AV18" s="66">
        <f t="shared" si="18"/>
        <v>1000000</v>
      </c>
      <c r="AW18" s="142">
        <v>1</v>
      </c>
      <c r="AX18" s="66">
        <f t="shared" si="19"/>
        <v>1000000</v>
      </c>
      <c r="AY18" s="142">
        <v>0.2</v>
      </c>
      <c r="AZ18" s="66">
        <f t="shared" si="20"/>
        <v>200000</v>
      </c>
      <c r="BA18" s="62">
        <f t="shared" si="1"/>
        <v>16</v>
      </c>
      <c r="BB18" s="61">
        <f t="shared" si="2"/>
        <v>16000000</v>
      </c>
      <c r="BC18" s="141">
        <f t="shared" si="21"/>
        <v>0</v>
      </c>
      <c r="BD18" s="61">
        <f t="shared" si="21"/>
        <v>0</v>
      </c>
    </row>
    <row r="19" spans="1:68" s="11" customFormat="1" ht="22.8" x14ac:dyDescent="0.3">
      <c r="A19" s="59">
        <v>2</v>
      </c>
      <c r="B19" s="169" t="s">
        <v>69</v>
      </c>
      <c r="C19" s="168"/>
      <c r="D19" s="144"/>
      <c r="E19" s="70"/>
      <c r="F19" s="142"/>
      <c r="G19" s="142"/>
      <c r="H19" s="143"/>
      <c r="I19" s="149"/>
      <c r="J19" s="66"/>
      <c r="K19" s="149"/>
      <c r="L19" s="66"/>
      <c r="M19" s="149"/>
      <c r="N19" s="66"/>
      <c r="O19" s="149"/>
      <c r="P19" s="66"/>
      <c r="Q19" s="149"/>
      <c r="R19" s="66"/>
      <c r="S19" s="149"/>
      <c r="T19" s="66">
        <f t="shared" si="5"/>
        <v>0</v>
      </c>
      <c r="U19" s="149"/>
      <c r="V19" s="66">
        <f t="shared" si="6"/>
        <v>0</v>
      </c>
      <c r="W19" s="149"/>
      <c r="X19" s="66">
        <f t="shared" si="7"/>
        <v>0</v>
      </c>
      <c r="Y19" s="149"/>
      <c r="Z19" s="66">
        <f t="shared" si="8"/>
        <v>0</v>
      </c>
      <c r="AA19" s="149"/>
      <c r="AB19" s="66">
        <f t="shared" si="9"/>
        <v>0</v>
      </c>
      <c r="AC19" s="149"/>
      <c r="AD19" s="66">
        <f t="shared" si="10"/>
        <v>0</v>
      </c>
      <c r="AE19" s="66"/>
      <c r="AF19" s="66"/>
      <c r="AG19" s="149"/>
      <c r="AH19" s="66">
        <f t="shared" si="11"/>
        <v>0</v>
      </c>
      <c r="AI19" s="149"/>
      <c r="AJ19" s="66">
        <f t="shared" si="12"/>
        <v>0</v>
      </c>
      <c r="AK19" s="149"/>
      <c r="AL19" s="66">
        <f t="shared" si="13"/>
        <v>0</v>
      </c>
      <c r="AM19" s="149"/>
      <c r="AN19" s="66">
        <f t="shared" si="14"/>
        <v>0</v>
      </c>
      <c r="AO19" s="149"/>
      <c r="AP19" s="66">
        <f t="shared" si="15"/>
        <v>0</v>
      </c>
      <c r="AQ19" s="149"/>
      <c r="AR19" s="66">
        <f t="shared" si="16"/>
        <v>0</v>
      </c>
      <c r="AS19" s="149"/>
      <c r="AT19" s="66">
        <f t="shared" si="17"/>
        <v>0</v>
      </c>
      <c r="AU19" s="149"/>
      <c r="AV19" s="66">
        <f t="shared" si="18"/>
        <v>0</v>
      </c>
      <c r="AW19" s="149"/>
      <c r="AX19" s="66">
        <f t="shared" si="19"/>
        <v>0</v>
      </c>
      <c r="AY19" s="149"/>
      <c r="AZ19" s="66">
        <f t="shared" si="20"/>
        <v>0</v>
      </c>
      <c r="BA19" s="62"/>
      <c r="BB19" s="61"/>
      <c r="BC19" s="167"/>
      <c r="BD19" s="61"/>
    </row>
    <row r="20" spans="1:68" s="11" customFormat="1" ht="22.8" x14ac:dyDescent="0.3">
      <c r="A20" s="59" t="s">
        <v>68</v>
      </c>
      <c r="B20" s="146" t="s">
        <v>67</v>
      </c>
      <c r="C20" s="166" t="s">
        <v>64</v>
      </c>
      <c r="D20" s="144">
        <v>1</v>
      </c>
      <c r="E20" s="70">
        <v>985000</v>
      </c>
      <c r="F20" s="142">
        <v>1</v>
      </c>
      <c r="G20" s="142">
        <v>16</v>
      </c>
      <c r="H20" s="143">
        <f>+D20*E20*F20*G20</f>
        <v>15760000</v>
      </c>
      <c r="I20" s="149"/>
      <c r="J20" s="66"/>
      <c r="K20" s="149"/>
      <c r="L20" s="66"/>
      <c r="M20" s="149"/>
      <c r="N20" s="66"/>
      <c r="O20" s="149"/>
      <c r="P20" s="66">
        <f>ROUND(E20*O20,0)</f>
        <v>0</v>
      </c>
      <c r="Q20" s="149">
        <v>0.8</v>
      </c>
      <c r="R20" s="66">
        <f>ROUND(+F20*Q20*E20,0)</f>
        <v>788000</v>
      </c>
      <c r="S20" s="142">
        <v>1</v>
      </c>
      <c r="T20" s="66">
        <f t="shared" si="5"/>
        <v>985000</v>
      </c>
      <c r="U20" s="142">
        <v>1</v>
      </c>
      <c r="V20" s="66">
        <f t="shared" si="6"/>
        <v>985000</v>
      </c>
      <c r="W20" s="149">
        <v>1</v>
      </c>
      <c r="X20" s="66">
        <f t="shared" si="7"/>
        <v>985000</v>
      </c>
      <c r="Y20" s="142">
        <v>1</v>
      </c>
      <c r="Z20" s="66">
        <f t="shared" si="8"/>
        <v>985000</v>
      </c>
      <c r="AA20" s="142">
        <v>1</v>
      </c>
      <c r="AB20" s="66">
        <f t="shared" si="9"/>
        <v>985000</v>
      </c>
      <c r="AC20" s="142">
        <v>1</v>
      </c>
      <c r="AD20" s="66">
        <f t="shared" si="10"/>
        <v>985000</v>
      </c>
      <c r="AE20" s="66"/>
      <c r="AF20" s="66"/>
      <c r="AG20" s="149">
        <v>1</v>
      </c>
      <c r="AH20" s="66">
        <f t="shared" si="11"/>
        <v>985000</v>
      </c>
      <c r="AI20" s="149">
        <v>1</v>
      </c>
      <c r="AJ20" s="66">
        <f t="shared" si="12"/>
        <v>985000</v>
      </c>
      <c r="AK20" s="149">
        <v>1</v>
      </c>
      <c r="AL20" s="66">
        <f t="shared" si="13"/>
        <v>985000</v>
      </c>
      <c r="AM20" s="149">
        <v>1</v>
      </c>
      <c r="AN20" s="66">
        <f t="shared" si="14"/>
        <v>985000</v>
      </c>
      <c r="AO20" s="149">
        <v>1</v>
      </c>
      <c r="AP20" s="66">
        <f t="shared" si="15"/>
        <v>985000</v>
      </c>
      <c r="AQ20" s="149">
        <v>1</v>
      </c>
      <c r="AR20" s="66">
        <f t="shared" si="16"/>
        <v>985000</v>
      </c>
      <c r="AS20" s="142">
        <v>1</v>
      </c>
      <c r="AT20" s="66">
        <f t="shared" si="17"/>
        <v>985000</v>
      </c>
      <c r="AU20" s="142">
        <v>1</v>
      </c>
      <c r="AV20" s="66">
        <f t="shared" si="18"/>
        <v>985000</v>
      </c>
      <c r="AW20" s="142">
        <v>1</v>
      </c>
      <c r="AX20" s="66">
        <f t="shared" si="19"/>
        <v>985000</v>
      </c>
      <c r="AY20" s="149">
        <v>0.2</v>
      </c>
      <c r="AZ20" s="66">
        <f t="shared" si="20"/>
        <v>197000</v>
      </c>
      <c r="BA20" s="62">
        <f>SUM(I20+K20+M20+O20+Q20+S20+U20+W20+Y20+AA20+AC20+AG20+AI20+AK20+AM20+AO20+AQ20+AS20+AU20+AW20+AY20)+AE20</f>
        <v>16</v>
      </c>
      <c r="BB20" s="61">
        <f>+J20+L20+N20+P20+R20+T20+V20+X20+Z20+AB20+AD20+AH20+AJ20+AL20+AN20+AP20+AR20+AT20+AV20+AX20+AZ20+AF20</f>
        <v>15760000</v>
      </c>
      <c r="BC20" s="141">
        <f>G20-BA20</f>
        <v>0</v>
      </c>
      <c r="BD20" s="61">
        <f>H20-BB20</f>
        <v>0</v>
      </c>
    </row>
    <row r="21" spans="1:68" s="11" customFormat="1" ht="22.8" x14ac:dyDescent="0.3">
      <c r="A21" s="59" t="s">
        <v>66</v>
      </c>
      <c r="B21" s="146" t="s">
        <v>65</v>
      </c>
      <c r="C21" s="166" t="s">
        <v>64</v>
      </c>
      <c r="D21" s="144">
        <v>1</v>
      </c>
      <c r="E21" s="70">
        <v>1000000</v>
      </c>
      <c r="F21" s="149">
        <v>0.25</v>
      </c>
      <c r="G21" s="142">
        <v>16</v>
      </c>
      <c r="H21" s="143">
        <f>+D21*E21*F21*G21</f>
        <v>4000000</v>
      </c>
      <c r="I21" s="149"/>
      <c r="J21" s="66"/>
      <c r="K21" s="149"/>
      <c r="L21" s="66"/>
      <c r="M21" s="149"/>
      <c r="N21" s="66"/>
      <c r="O21" s="149"/>
      <c r="P21" s="66">
        <f>ROUND(E21*O21,0)</f>
        <v>0</v>
      </c>
      <c r="Q21" s="149">
        <f>0.8</f>
        <v>0.8</v>
      </c>
      <c r="R21" s="66">
        <f>ROUND(+F21*Q21*E21,0)</f>
        <v>200000</v>
      </c>
      <c r="S21" s="142">
        <v>1</v>
      </c>
      <c r="T21" s="66">
        <f t="shared" si="5"/>
        <v>250000</v>
      </c>
      <c r="U21" s="142">
        <v>1</v>
      </c>
      <c r="V21" s="66">
        <f t="shared" si="6"/>
        <v>250000</v>
      </c>
      <c r="W21" s="149">
        <v>1</v>
      </c>
      <c r="X21" s="66">
        <f t="shared" si="7"/>
        <v>250000</v>
      </c>
      <c r="Y21" s="142">
        <v>1</v>
      </c>
      <c r="Z21" s="66">
        <f t="shared" si="8"/>
        <v>250000</v>
      </c>
      <c r="AA21" s="142">
        <v>1</v>
      </c>
      <c r="AB21" s="66">
        <f t="shared" si="9"/>
        <v>250000</v>
      </c>
      <c r="AC21" s="142">
        <v>1</v>
      </c>
      <c r="AD21" s="66">
        <f t="shared" si="10"/>
        <v>250000</v>
      </c>
      <c r="AE21" s="66"/>
      <c r="AF21" s="66"/>
      <c r="AG21" s="149">
        <v>1</v>
      </c>
      <c r="AH21" s="66">
        <f t="shared" si="11"/>
        <v>250000</v>
      </c>
      <c r="AI21" s="149">
        <v>1</v>
      </c>
      <c r="AJ21" s="66">
        <f t="shared" si="12"/>
        <v>250000</v>
      </c>
      <c r="AK21" s="149">
        <v>1</v>
      </c>
      <c r="AL21" s="66">
        <f t="shared" si="13"/>
        <v>250000</v>
      </c>
      <c r="AM21" s="149">
        <v>1</v>
      </c>
      <c r="AN21" s="66">
        <f t="shared" si="14"/>
        <v>250000</v>
      </c>
      <c r="AO21" s="149">
        <v>1</v>
      </c>
      <c r="AP21" s="66">
        <f t="shared" si="15"/>
        <v>250000</v>
      </c>
      <c r="AQ21" s="149">
        <v>1</v>
      </c>
      <c r="AR21" s="66">
        <f t="shared" si="16"/>
        <v>250000</v>
      </c>
      <c r="AS21" s="142">
        <v>1</v>
      </c>
      <c r="AT21" s="66">
        <f t="shared" si="17"/>
        <v>250000</v>
      </c>
      <c r="AU21" s="142">
        <v>1</v>
      </c>
      <c r="AV21" s="66">
        <f t="shared" si="18"/>
        <v>250000</v>
      </c>
      <c r="AW21" s="142">
        <v>1</v>
      </c>
      <c r="AX21" s="66">
        <f t="shared" si="19"/>
        <v>250000</v>
      </c>
      <c r="AY21" s="149">
        <v>0.2</v>
      </c>
      <c r="AZ21" s="66">
        <f t="shared" si="20"/>
        <v>50000</v>
      </c>
      <c r="BA21" s="62">
        <f>SUM(I21+K21+M21+O21+Q21+S21+U21+W21+Y21+AA21+AC21+AG21+AI21+AK21+AM21+AO21+AQ21+AS21+AU21+AW21+AY21)+AE21</f>
        <v>16</v>
      </c>
      <c r="BB21" s="61">
        <f>+J21+L21+N21+P21+R21+T21+V21+X21+Z21+AB21+AD21+AH21+AJ21+AL21+AN21+AP21+AR21+AT21+AV21+AX21+AZ21+AF21</f>
        <v>4000000</v>
      </c>
      <c r="BC21" s="141">
        <f>G21-BA21</f>
        <v>0</v>
      </c>
      <c r="BD21" s="61">
        <f>H21-BB21</f>
        <v>0</v>
      </c>
      <c r="BF21" s="12">
        <f>+H22+AF12+AF15</f>
        <v>373887000</v>
      </c>
    </row>
    <row r="22" spans="1:68" s="11" customFormat="1" ht="42" customHeight="1" x14ac:dyDescent="0.3">
      <c r="A22" s="59"/>
      <c r="B22" s="325" t="s">
        <v>63</v>
      </c>
      <c r="C22" s="326"/>
      <c r="D22" s="326"/>
      <c r="E22" s="326"/>
      <c r="F22" s="326"/>
      <c r="G22" s="327"/>
      <c r="H22" s="165">
        <f>SUM(H8:H21)</f>
        <v>345012000</v>
      </c>
      <c r="I22" s="149"/>
      <c r="J22" s="51">
        <f>SUM(J8:J21)</f>
        <v>1072000</v>
      </c>
      <c r="K22" s="149"/>
      <c r="L22" s="51">
        <f>SUM(L8:L21)</f>
        <v>1340000</v>
      </c>
      <c r="M22" s="149"/>
      <c r="N22" s="51">
        <f>SUM(N8:N21)</f>
        <v>1340000</v>
      </c>
      <c r="O22" s="149"/>
      <c r="P22" s="51">
        <f>SUM(P8:P21)</f>
        <v>1340000</v>
      </c>
      <c r="Q22" s="149"/>
      <c r="R22" s="51">
        <f>SUM(R8:R21)</f>
        <v>17885600</v>
      </c>
      <c r="S22" s="149"/>
      <c r="T22" s="51">
        <f>SUM(T8:T21)</f>
        <v>22022000</v>
      </c>
      <c r="U22" s="149"/>
      <c r="V22" s="51">
        <f>SUM(V8:V21)</f>
        <v>22022000</v>
      </c>
      <c r="W22" s="149"/>
      <c r="X22" s="51">
        <f>SUM(X8:X21)</f>
        <v>22022000</v>
      </c>
      <c r="Y22" s="149"/>
      <c r="Z22" s="51">
        <f>SUM(Z8:Z21)</f>
        <v>22022000</v>
      </c>
      <c r="AA22" s="149"/>
      <c r="AB22" s="51">
        <f>SUM(AB8:AB21)</f>
        <v>22022000</v>
      </c>
      <c r="AC22" s="149"/>
      <c r="AD22" s="51">
        <f>SUM(AD8:AD21)</f>
        <v>22022000</v>
      </c>
      <c r="AE22" s="51"/>
      <c r="AF22" s="51">
        <f>SUM(AF8:AF21)</f>
        <v>43875000</v>
      </c>
      <c r="AG22" s="149"/>
      <c r="AH22" s="51">
        <f>SUM(AH8:AH21)</f>
        <v>22022000</v>
      </c>
      <c r="AI22" s="149"/>
      <c r="AJ22" s="51">
        <f>SUM(AJ8:AJ21)</f>
        <v>22022000</v>
      </c>
      <c r="AK22" s="149"/>
      <c r="AL22" s="51">
        <f>SUM(AL8:AL21)</f>
        <v>22022000</v>
      </c>
      <c r="AM22" s="149"/>
      <c r="AN22" s="51">
        <f>SUM(AN8:AN21)</f>
        <v>22022000</v>
      </c>
      <c r="AO22" s="149"/>
      <c r="AP22" s="51">
        <f>SUM(AP8:AP21)</f>
        <v>22022000</v>
      </c>
      <c r="AQ22" s="149"/>
      <c r="AR22" s="51">
        <f>SUM(AR8:AR21)</f>
        <v>22022000</v>
      </c>
      <c r="AS22" s="149"/>
      <c r="AT22" s="51">
        <f>SUM(AT8:AT21)</f>
        <v>22022000</v>
      </c>
      <c r="AU22" s="149"/>
      <c r="AV22" s="51">
        <f>SUM(AV8:AV21)</f>
        <v>22022000</v>
      </c>
      <c r="AW22" s="149"/>
      <c r="AX22" s="51">
        <f>SUM(AX8:AX21)</f>
        <v>11862000</v>
      </c>
      <c r="AY22" s="149"/>
      <c r="AZ22" s="51">
        <f>SUM(AZ8:AZ21)</f>
        <v>1864400</v>
      </c>
      <c r="BA22" s="164" t="s">
        <v>62</v>
      </c>
      <c r="BB22" s="49">
        <f>SUM(BB8:BB21)</f>
        <v>388887000</v>
      </c>
      <c r="BC22" s="163"/>
      <c r="BD22" s="49">
        <f>SUM(BD8:BD21)</f>
        <v>-25125000</v>
      </c>
      <c r="BF22" s="12">
        <f>+H22+AF22</f>
        <v>388887000</v>
      </c>
    </row>
    <row r="23" spans="1:68" s="11" customFormat="1" ht="22.8" x14ac:dyDescent="0.25">
      <c r="A23" s="38"/>
      <c r="B23" s="162" t="s">
        <v>61</v>
      </c>
      <c r="C23" s="160"/>
      <c r="D23" s="160"/>
      <c r="E23" s="161"/>
      <c r="F23" s="160"/>
      <c r="G23" s="159">
        <v>1.79</v>
      </c>
      <c r="H23" s="158"/>
      <c r="I23" s="149"/>
      <c r="J23" s="157"/>
      <c r="K23" s="149"/>
      <c r="L23" s="157"/>
      <c r="M23" s="149"/>
      <c r="N23" s="157"/>
      <c r="O23" s="149"/>
      <c r="P23" s="157"/>
      <c r="Q23" s="149"/>
      <c r="R23" s="157"/>
      <c r="S23" s="149"/>
      <c r="T23" s="157"/>
      <c r="U23" s="149"/>
      <c r="V23" s="157"/>
      <c r="W23" s="149"/>
      <c r="X23" s="157"/>
      <c r="Y23" s="149"/>
      <c r="Z23" s="157"/>
      <c r="AA23" s="149"/>
      <c r="AB23" s="157"/>
      <c r="AC23" s="149"/>
      <c r="AD23" s="157"/>
      <c r="AE23" s="157"/>
      <c r="AF23" s="157"/>
      <c r="AG23" s="149"/>
      <c r="AH23" s="157"/>
      <c r="AI23" s="149"/>
      <c r="AJ23" s="157"/>
      <c r="AK23" s="149"/>
      <c r="AL23" s="157"/>
      <c r="AM23" s="149"/>
      <c r="AN23" s="157"/>
      <c r="AO23" s="149"/>
      <c r="AP23" s="157"/>
      <c r="AQ23" s="149"/>
      <c r="AR23" s="157"/>
      <c r="AS23" s="149"/>
      <c r="AT23" s="157"/>
      <c r="AU23" s="149"/>
      <c r="AV23" s="157"/>
      <c r="AW23" s="149"/>
      <c r="AX23" s="157"/>
      <c r="AY23" s="149"/>
      <c r="AZ23" s="157"/>
      <c r="BA23" s="62"/>
      <c r="BB23" s="155"/>
      <c r="BC23" s="156"/>
      <c r="BD23" s="155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</row>
    <row r="24" spans="1:68" s="11" customFormat="1" ht="22.8" x14ac:dyDescent="0.25">
      <c r="A24" s="59"/>
      <c r="B24" s="328" t="s">
        <v>60</v>
      </c>
      <c r="C24" s="329"/>
      <c r="D24" s="329"/>
      <c r="E24" s="329"/>
      <c r="F24" s="329"/>
      <c r="G24" s="154"/>
      <c r="H24" s="153">
        <f>ROUND(H22*$G$23,0)</f>
        <v>617571480</v>
      </c>
      <c r="I24" s="149"/>
      <c r="J24" s="152">
        <f>ROUND(J22*$G$23,0)</f>
        <v>1918880</v>
      </c>
      <c r="K24" s="149"/>
      <c r="L24" s="152">
        <f>ROUND(L22*$G$23,0)</f>
        <v>2398600</v>
      </c>
      <c r="M24" s="149"/>
      <c r="N24" s="152">
        <f>ROUND(N22*$G$23,0)</f>
        <v>2398600</v>
      </c>
      <c r="O24" s="149"/>
      <c r="P24" s="152">
        <f>ROUND(P22*$G$23,0)</f>
        <v>2398600</v>
      </c>
      <c r="Q24" s="149"/>
      <c r="R24" s="152">
        <f>ROUND(R22*$G$23,0)</f>
        <v>32015224</v>
      </c>
      <c r="S24" s="149"/>
      <c r="T24" s="152">
        <f>ROUND(T22*$G$23,0)</f>
        <v>39419380</v>
      </c>
      <c r="U24" s="149"/>
      <c r="V24" s="152">
        <f>ROUND(V22*$G$23,0)</f>
        <v>39419380</v>
      </c>
      <c r="W24" s="149"/>
      <c r="X24" s="152">
        <f>ROUND(X22*$G$23,0)</f>
        <v>39419380</v>
      </c>
      <c r="Y24" s="149"/>
      <c r="Z24" s="152">
        <f>ROUND(Z22*$G$23,0)</f>
        <v>39419380</v>
      </c>
      <c r="AA24" s="149"/>
      <c r="AB24" s="152">
        <f>ROUND(AB22*$G$23,0)</f>
        <v>39419380</v>
      </c>
      <c r="AC24" s="149"/>
      <c r="AD24" s="152">
        <f>ROUND(AD22*$G$23,0)</f>
        <v>39419380</v>
      </c>
      <c r="AE24" s="152"/>
      <c r="AF24" s="152">
        <f>ROUND(AF22*$G$23,0)</f>
        <v>78536250</v>
      </c>
      <c r="AG24" s="149"/>
      <c r="AH24" s="152">
        <f>ROUND(AH22*$G$23,0)</f>
        <v>39419380</v>
      </c>
      <c r="AI24" s="149"/>
      <c r="AJ24" s="152">
        <f>ROUND(AJ22*$G$23,0)</f>
        <v>39419380</v>
      </c>
      <c r="AK24" s="149"/>
      <c r="AL24" s="152">
        <f>ROUND(AL22*$G$23,0)</f>
        <v>39419380</v>
      </c>
      <c r="AM24" s="149"/>
      <c r="AN24" s="152">
        <f>ROUND(AN22*$G$23,0)</f>
        <v>39419380</v>
      </c>
      <c r="AO24" s="149"/>
      <c r="AP24" s="152">
        <f>ROUND(AP22*$G$23,0)</f>
        <v>39419380</v>
      </c>
      <c r="AQ24" s="149"/>
      <c r="AR24" s="152">
        <f>ROUND(AR22*$G$23,0)</f>
        <v>39419380</v>
      </c>
      <c r="AS24" s="149"/>
      <c r="AT24" s="152">
        <f>ROUND(AT22*$G$23,0)</f>
        <v>39419380</v>
      </c>
      <c r="AU24" s="149"/>
      <c r="AV24" s="152">
        <f>ROUND(AV22*$G$23,0)</f>
        <v>39419380</v>
      </c>
      <c r="AW24" s="149"/>
      <c r="AX24" s="152">
        <f>ROUND(AX22*$G$23,0)</f>
        <v>21232980</v>
      </c>
      <c r="AY24" s="149"/>
      <c r="AZ24" s="152">
        <f>ROUND(AZ22*$G$23,0)</f>
        <v>3337276</v>
      </c>
      <c r="BA24" s="62"/>
      <c r="BB24" s="150">
        <f>ROUND(BB22*$G$23,0)</f>
        <v>696107730</v>
      </c>
      <c r="BC24" s="151"/>
      <c r="BD24" s="150">
        <f>ROUND(BD22*$G$23,0)</f>
        <v>-44973750</v>
      </c>
      <c r="BF24" s="12"/>
      <c r="BH24" s="129"/>
      <c r="BI24" s="129"/>
      <c r="BJ24" s="129"/>
      <c r="BK24" s="129"/>
      <c r="BL24" s="129"/>
      <c r="BM24" s="129"/>
      <c r="BN24" s="129"/>
      <c r="BO24" s="129"/>
      <c r="BP24" s="129"/>
    </row>
    <row r="25" spans="1:68" s="11" customFormat="1" ht="31.2" x14ac:dyDescent="0.3">
      <c r="A25" s="59">
        <v>2.2999999999999998</v>
      </c>
      <c r="B25" s="146" t="s">
        <v>59</v>
      </c>
      <c r="C25" s="145" t="s">
        <v>50</v>
      </c>
      <c r="D25" s="144"/>
      <c r="E25" s="70"/>
      <c r="F25" s="142"/>
      <c r="G25" s="142"/>
      <c r="H25" s="143">
        <f>SUM(H26:H33)</f>
        <v>50637648.600000001</v>
      </c>
      <c r="I25" s="142"/>
      <c r="J25" s="143">
        <f>SUM(J26:J33)</f>
        <v>109783.52</v>
      </c>
      <c r="K25" s="142"/>
      <c r="L25" s="143">
        <f>SUM(L26:L33)</f>
        <v>137229.4</v>
      </c>
      <c r="M25" s="142"/>
      <c r="N25" s="143">
        <f>SUM(N26:N33)</f>
        <v>137229.4</v>
      </c>
      <c r="O25" s="142"/>
      <c r="P25" s="143">
        <f>SUM(P26:P33)</f>
        <v>137229.4</v>
      </c>
      <c r="Q25" s="142"/>
      <c r="R25" s="143">
        <f>SUM(R26:R33)</f>
        <v>2662251.98</v>
      </c>
      <c r="S25" s="142"/>
      <c r="T25" s="143">
        <f>SUM(T26:T33)</f>
        <v>3293505.6</v>
      </c>
      <c r="U25" s="142"/>
      <c r="V25" s="143">
        <f>SUM(V26:V33)</f>
        <v>3293505.6</v>
      </c>
      <c r="W25" s="142"/>
      <c r="X25" s="143">
        <f>SUM(X26:X33)</f>
        <v>3293505.6</v>
      </c>
      <c r="Y25" s="142"/>
      <c r="Z25" s="143">
        <f>SUM(Z26:Z33)</f>
        <v>3293505.6</v>
      </c>
      <c r="AA25" s="142"/>
      <c r="AB25" s="143">
        <f>SUM(AB26:AB33)</f>
        <v>3293505.6</v>
      </c>
      <c r="AC25" s="142"/>
      <c r="AD25" s="143">
        <f>SUM(AD26:AD33)</f>
        <v>3293505.6</v>
      </c>
      <c r="AE25" s="143"/>
      <c r="AF25" s="143">
        <f>SUM(AF26:AF33)</f>
        <v>7719154</v>
      </c>
      <c r="AG25" s="142"/>
      <c r="AH25" s="143">
        <f>SUM(AH26:AH33)</f>
        <v>3293505.6</v>
      </c>
      <c r="AI25" s="142"/>
      <c r="AJ25" s="143">
        <f>SUM(AJ26:AJ33)</f>
        <v>3293505.6</v>
      </c>
      <c r="AK25" s="142"/>
      <c r="AL25" s="143">
        <f>SUM(AL26:AL33)</f>
        <v>3293505.6</v>
      </c>
      <c r="AM25" s="142"/>
      <c r="AN25" s="143">
        <f>SUM(AN26:AN33)</f>
        <v>3293505.6</v>
      </c>
      <c r="AO25" s="142"/>
      <c r="AP25" s="143">
        <f>SUM(AP26:AP33)</f>
        <v>3293505.6</v>
      </c>
      <c r="AQ25" s="142"/>
      <c r="AR25" s="143">
        <f>SUM(AR26:AR33)</f>
        <v>3293505.6</v>
      </c>
      <c r="AS25" s="142"/>
      <c r="AT25" s="143">
        <f>SUM(AT26:AT33)</f>
        <v>3293505.6</v>
      </c>
      <c r="AU25" s="142"/>
      <c r="AV25" s="143">
        <f>SUM(AV26:AV33)</f>
        <v>3293505.6</v>
      </c>
      <c r="AW25" s="142"/>
      <c r="AX25" s="143">
        <f>SUM(AX26:AX33)</f>
        <v>1207617.5</v>
      </c>
      <c r="AY25" s="142"/>
      <c r="AZ25" s="143">
        <f>SUM(AZ26:AZ33)</f>
        <v>137229</v>
      </c>
      <c r="BA25" s="62">
        <f>SUM(I25+K25+M25+O25+Q25+S25+U25+W25+Y25+AA25+AC25+AG25+AI25+AK25+AM25+AO25+AQ25+AS25+AU25+AW25+AY25)</f>
        <v>0</v>
      </c>
      <c r="BB25" s="61">
        <f t="shared" ref="BB25:BB33" si="22">+J25+L25+N25+P25+R25+T25+V25+X25+Z25+AB25+AD25+AH25+AJ25+AL25+AN25+AP25+AR25+AT25+AV25+AX25+AZ25+AF25</f>
        <v>58356802.600000009</v>
      </c>
      <c r="BC25" s="141"/>
      <c r="BD25" s="61">
        <f>H25-BB25</f>
        <v>-7719154.0000000075</v>
      </c>
    </row>
    <row r="26" spans="1:68" s="11" customFormat="1" ht="31.2" x14ac:dyDescent="0.3">
      <c r="A26" s="59"/>
      <c r="B26" s="146" t="s">
        <v>58</v>
      </c>
      <c r="C26" s="145" t="s">
        <v>50</v>
      </c>
      <c r="D26" s="144">
        <v>1</v>
      </c>
      <c r="E26" s="70">
        <v>686147</v>
      </c>
      <c r="F26" s="142">
        <v>1</v>
      </c>
      <c r="G26" s="142">
        <v>16</v>
      </c>
      <c r="H26" s="143">
        <f>+D26*E26*F26*G26</f>
        <v>10978352</v>
      </c>
      <c r="I26" s="142"/>
      <c r="J26" s="66">
        <f>ROUND(E26*I26,0)</f>
        <v>0</v>
      </c>
      <c r="K26" s="142"/>
      <c r="L26" s="66">
        <f>ROUND(E26*K26,0)</f>
        <v>0</v>
      </c>
      <c r="M26" s="142"/>
      <c r="N26" s="66">
        <f>ROUND(E26*M26,0)</f>
        <v>0</v>
      </c>
      <c r="O26" s="142"/>
      <c r="P26" s="66">
        <f>ROUND($E$26*O26,0)</f>
        <v>0</v>
      </c>
      <c r="Q26" s="142">
        <v>0.8</v>
      </c>
      <c r="R26" s="66">
        <f>ROUND(E26*Q26*F26,0)</f>
        <v>548918</v>
      </c>
      <c r="S26" s="142">
        <v>1</v>
      </c>
      <c r="T26" s="66">
        <f>ROUND(E26*S26*F26,0)</f>
        <v>686147</v>
      </c>
      <c r="U26" s="142">
        <v>1</v>
      </c>
      <c r="V26" s="66">
        <f>ROUND(E26*U26*F26,0)</f>
        <v>686147</v>
      </c>
      <c r="W26" s="142">
        <v>1</v>
      </c>
      <c r="X26" s="66">
        <f>ROUND(E26*W26*F26,0)</f>
        <v>686147</v>
      </c>
      <c r="Y26" s="142">
        <v>1</v>
      </c>
      <c r="Z26" s="66">
        <f>ROUND(E26*Y26*F26,0)</f>
        <v>686147</v>
      </c>
      <c r="AA26" s="142">
        <v>1</v>
      </c>
      <c r="AB26" s="66">
        <f>ROUND(E26*AA26*F26,0)</f>
        <v>686147</v>
      </c>
      <c r="AC26" s="142">
        <v>1</v>
      </c>
      <c r="AD26" s="66">
        <f>ROUND(E26*AC26*F26,0)</f>
        <v>686147</v>
      </c>
      <c r="AE26" s="66"/>
      <c r="AF26" s="66"/>
      <c r="AG26" s="142">
        <v>1</v>
      </c>
      <c r="AH26" s="66">
        <f>ROUND(E26*AG26*F26,0)</f>
        <v>686147</v>
      </c>
      <c r="AI26" s="142">
        <v>1</v>
      </c>
      <c r="AJ26" s="66">
        <f>ROUND(E26*AI26*F26,0)</f>
        <v>686147</v>
      </c>
      <c r="AK26" s="142">
        <v>1</v>
      </c>
      <c r="AL26" s="66">
        <f>ROUND(E26*AK26*F26,0)</f>
        <v>686147</v>
      </c>
      <c r="AM26" s="142">
        <v>1</v>
      </c>
      <c r="AN26" s="66">
        <f>ROUND(E26*AM26*F26,0)</f>
        <v>686147</v>
      </c>
      <c r="AO26" s="142">
        <v>1</v>
      </c>
      <c r="AP26" s="66">
        <f>ROUND(E26*AO26*F26,0)</f>
        <v>686147</v>
      </c>
      <c r="AQ26" s="142">
        <v>1</v>
      </c>
      <c r="AR26" s="66">
        <f>ROUND(E26*AQ26*F26,0)</f>
        <v>686147</v>
      </c>
      <c r="AS26" s="142">
        <v>1</v>
      </c>
      <c r="AT26" s="66">
        <f>ROUND(E26*AS26*F26,0)</f>
        <v>686147</v>
      </c>
      <c r="AU26" s="142">
        <v>1</v>
      </c>
      <c r="AV26" s="66">
        <f>ROUND($E$26*AU26*$F$26,0)</f>
        <v>686147</v>
      </c>
      <c r="AW26" s="142">
        <v>1</v>
      </c>
      <c r="AX26" s="66">
        <f>ROUND(E26*AW26*F26,0)</f>
        <v>686147</v>
      </c>
      <c r="AY26" s="142">
        <v>0.2</v>
      </c>
      <c r="AZ26" s="66">
        <f>ROUND(E26*AY26*F26,0)</f>
        <v>137229</v>
      </c>
      <c r="BA26" s="62">
        <f t="shared" ref="BA26:BA33" si="23">SUM(I26+K26+M26+O26+Q26+S26+U26+W26+Y26+AA26+AC26+AG26+AI26+AK26+AM26+AO26+AQ26+AS26+AU26+AW26+AY26)+AE26</f>
        <v>16</v>
      </c>
      <c r="BB26" s="61">
        <f t="shared" si="22"/>
        <v>10978352</v>
      </c>
      <c r="BC26" s="141">
        <f>G26-BA26</f>
        <v>0</v>
      </c>
      <c r="BD26" s="61">
        <f>H26-BB26</f>
        <v>0</v>
      </c>
    </row>
    <row r="27" spans="1:68" s="11" customFormat="1" ht="31.2" x14ac:dyDescent="0.3">
      <c r="A27" s="59"/>
      <c r="B27" s="146" t="s">
        <v>57</v>
      </c>
      <c r="C27" s="145" t="s">
        <v>50</v>
      </c>
      <c r="D27" s="144">
        <v>1</v>
      </c>
      <c r="E27" s="70">
        <v>686147</v>
      </c>
      <c r="F27" s="142">
        <v>0.3</v>
      </c>
      <c r="G27" s="142">
        <v>15</v>
      </c>
      <c r="H27" s="143">
        <f>+D27*E27*F27*G27</f>
        <v>3087661.5</v>
      </c>
      <c r="I27" s="142"/>
      <c r="J27" s="66">
        <f>ROUND(E27*I27,0)</f>
        <v>0</v>
      </c>
      <c r="K27" s="142"/>
      <c r="L27" s="66">
        <f>ROUND(E27*K27,0)</f>
        <v>0</v>
      </c>
      <c r="M27" s="142"/>
      <c r="N27" s="66">
        <f>ROUND(E27*M27,0)</f>
        <v>0</v>
      </c>
      <c r="O27" s="142"/>
      <c r="P27" s="66">
        <f>ROUND(E27*O27,0)</f>
        <v>0</v>
      </c>
      <c r="Q27" s="142">
        <v>0.8</v>
      </c>
      <c r="R27" s="66">
        <f>ROUND(E27*Q27*F27,1)</f>
        <v>164675.29999999999</v>
      </c>
      <c r="S27" s="142">
        <v>1</v>
      </c>
      <c r="T27" s="66">
        <f>ROUND(E$27*S27*F$27,1)</f>
        <v>205844.1</v>
      </c>
      <c r="U27" s="142">
        <v>1</v>
      </c>
      <c r="V27" s="66">
        <f>ROUND(E27*U27*F27,1)</f>
        <v>205844.1</v>
      </c>
      <c r="W27" s="142">
        <v>1</v>
      </c>
      <c r="X27" s="66">
        <f>ROUND(E27*W27*F27,1)</f>
        <v>205844.1</v>
      </c>
      <c r="Y27" s="142">
        <v>1</v>
      </c>
      <c r="Z27" s="66">
        <f>ROUND(E27*Y27*F27,1)</f>
        <v>205844.1</v>
      </c>
      <c r="AA27" s="142">
        <v>1</v>
      </c>
      <c r="AB27" s="66">
        <f>ROUND(E27*AA27*F27,1)</f>
        <v>205844.1</v>
      </c>
      <c r="AC27" s="142">
        <v>1</v>
      </c>
      <c r="AD27" s="66">
        <f>ROUND(E27*AC27*F27,1)</f>
        <v>205844.1</v>
      </c>
      <c r="AE27" s="66"/>
      <c r="AF27" s="66"/>
      <c r="AG27" s="142">
        <v>1</v>
      </c>
      <c r="AH27" s="66">
        <f>ROUND(E27*AG27*F27,1)</f>
        <v>205844.1</v>
      </c>
      <c r="AI27" s="142">
        <v>1</v>
      </c>
      <c r="AJ27" s="66">
        <f>ROUND(E27*AI27*F27,1)</f>
        <v>205844.1</v>
      </c>
      <c r="AK27" s="142">
        <v>1</v>
      </c>
      <c r="AL27" s="66">
        <f>ROUND(E27*AK27*F27,1)</f>
        <v>205844.1</v>
      </c>
      <c r="AM27" s="142">
        <v>1</v>
      </c>
      <c r="AN27" s="66">
        <f>ROUND(E27*AM27*F27,1)</f>
        <v>205844.1</v>
      </c>
      <c r="AO27" s="142">
        <v>1</v>
      </c>
      <c r="AP27" s="66">
        <f>ROUND(E27*AO27*F27,1)</f>
        <v>205844.1</v>
      </c>
      <c r="AQ27" s="142">
        <v>1</v>
      </c>
      <c r="AR27" s="66">
        <f>ROUND(E27*AQ27*F27,1)</f>
        <v>205844.1</v>
      </c>
      <c r="AS27" s="142">
        <v>1</v>
      </c>
      <c r="AT27" s="66">
        <f>ROUND(E27*AS27*F27,1)</f>
        <v>205844.1</v>
      </c>
      <c r="AU27" s="142">
        <v>1</v>
      </c>
      <c r="AV27" s="66">
        <f>ROUND(E27*AU27*F27,1)</f>
        <v>205844.1</v>
      </c>
      <c r="AW27" s="142">
        <v>0.2</v>
      </c>
      <c r="AX27" s="66">
        <f>ROUND(E27*AW27*F27,1)</f>
        <v>41168.800000000003</v>
      </c>
      <c r="AY27" s="142"/>
      <c r="AZ27" s="66">
        <f>ROUND(E27*AY27*F27,1)</f>
        <v>0</v>
      </c>
      <c r="BA27" s="62">
        <f t="shared" si="23"/>
        <v>15</v>
      </c>
      <c r="BB27" s="61">
        <f t="shared" si="22"/>
        <v>3087661.5000000005</v>
      </c>
      <c r="BC27" s="141">
        <f>G27-BA27</f>
        <v>0</v>
      </c>
      <c r="BD27" s="61">
        <f>H27-BB27</f>
        <v>0</v>
      </c>
    </row>
    <row r="28" spans="1:68" s="11" customFormat="1" ht="31.2" x14ac:dyDescent="0.3">
      <c r="A28" s="59"/>
      <c r="B28" s="146" t="s">
        <v>56</v>
      </c>
      <c r="C28" s="145" t="s">
        <v>50</v>
      </c>
      <c r="D28" s="144">
        <v>1</v>
      </c>
      <c r="E28" s="70">
        <v>686147</v>
      </c>
      <c r="F28" s="142">
        <v>1</v>
      </c>
      <c r="G28" s="142">
        <v>15</v>
      </c>
      <c r="H28" s="143">
        <f>+D28*E28*F28*G28</f>
        <v>10292205</v>
      </c>
      <c r="I28" s="142"/>
      <c r="J28" s="66">
        <f>ROUND(E28*I28,0)</f>
        <v>0</v>
      </c>
      <c r="K28" s="142"/>
      <c r="L28" s="66">
        <f>ROUND(E28*K28,0)</f>
        <v>0</v>
      </c>
      <c r="M28" s="142"/>
      <c r="N28" s="66">
        <f>ROUND(E28*M28,0)</f>
        <v>0</v>
      </c>
      <c r="O28" s="142"/>
      <c r="P28" s="66">
        <f>ROUND(E28*O28,0)</f>
        <v>0</v>
      </c>
      <c r="Q28" s="142">
        <v>0.8</v>
      </c>
      <c r="R28" s="66">
        <f>ROUND(E28*Q28*F28,0)</f>
        <v>548918</v>
      </c>
      <c r="S28" s="142">
        <v>1</v>
      </c>
      <c r="T28" s="66">
        <f>ROUND($E$28*S28*$F$28,0)</f>
        <v>686147</v>
      </c>
      <c r="U28" s="142">
        <v>1</v>
      </c>
      <c r="V28" s="66">
        <f>ROUND($E$28*U28*$F$28,0)</f>
        <v>686147</v>
      </c>
      <c r="W28" s="142">
        <v>1</v>
      </c>
      <c r="X28" s="66">
        <f>ROUND($E$28*W28*$F$28,0)</f>
        <v>686147</v>
      </c>
      <c r="Y28" s="142">
        <v>1</v>
      </c>
      <c r="Z28" s="66">
        <f>ROUND($E$28*Y28*$F$28,0)</f>
        <v>686147</v>
      </c>
      <c r="AA28" s="142">
        <v>1</v>
      </c>
      <c r="AB28" s="66">
        <f>ROUND($E$28*AA28*$F$28,0)</f>
        <v>686147</v>
      </c>
      <c r="AC28" s="142">
        <v>1</v>
      </c>
      <c r="AD28" s="66">
        <f>ROUND($E$28*AC28*$F$28,0)</f>
        <v>686147</v>
      </c>
      <c r="AE28" s="66"/>
      <c r="AF28" s="66"/>
      <c r="AG28" s="142">
        <v>1</v>
      </c>
      <c r="AH28" s="66">
        <f>ROUND($E$28*AG28*$F$28,0)</f>
        <v>686147</v>
      </c>
      <c r="AI28" s="142">
        <v>1</v>
      </c>
      <c r="AJ28" s="66">
        <f>ROUND($E$28*AI28*$F$28,0)</f>
        <v>686147</v>
      </c>
      <c r="AK28" s="142">
        <v>1</v>
      </c>
      <c r="AL28" s="66">
        <f>ROUND($E$28*AK28*$F$28,0)</f>
        <v>686147</v>
      </c>
      <c r="AM28" s="142">
        <v>1</v>
      </c>
      <c r="AN28" s="66">
        <f>ROUND($E$28*AM28*$F$28,0)</f>
        <v>686147</v>
      </c>
      <c r="AO28" s="142">
        <v>1</v>
      </c>
      <c r="AP28" s="66">
        <f>ROUND($E$28*AO28*$F$28,0)</f>
        <v>686147</v>
      </c>
      <c r="AQ28" s="142">
        <v>1</v>
      </c>
      <c r="AR28" s="66">
        <f>ROUND($E$28*AQ28*$F$28,0)</f>
        <v>686147</v>
      </c>
      <c r="AS28" s="142">
        <v>1</v>
      </c>
      <c r="AT28" s="66">
        <f>ROUND(E28*AS28*F28,0)</f>
        <v>686147</v>
      </c>
      <c r="AU28" s="142">
        <v>1</v>
      </c>
      <c r="AV28" s="66">
        <f>ROUND(E28*AU28*F28,0)</f>
        <v>686147</v>
      </c>
      <c r="AW28" s="142">
        <v>0.2</v>
      </c>
      <c r="AX28" s="66">
        <f>ROUND(E28*AW28*F28,0)</f>
        <v>137229</v>
      </c>
      <c r="AY28" s="142"/>
      <c r="AZ28" s="66">
        <f>ROUND(E28*AY28*F28,0)</f>
        <v>0</v>
      </c>
      <c r="BA28" s="62">
        <f t="shared" si="23"/>
        <v>15</v>
      </c>
      <c r="BB28" s="61">
        <f t="shared" si="22"/>
        <v>10292205</v>
      </c>
      <c r="BC28" s="141">
        <f>G28-BA28</f>
        <v>0</v>
      </c>
      <c r="BD28" s="61">
        <f>H28-BB28</f>
        <v>0</v>
      </c>
    </row>
    <row r="29" spans="1:68" s="11" customFormat="1" ht="22.8" x14ac:dyDescent="0.3">
      <c r="A29" s="59"/>
      <c r="B29" s="146" t="s">
        <v>55</v>
      </c>
      <c r="C29" s="145"/>
      <c r="D29" s="144">
        <v>1</v>
      </c>
      <c r="E29" s="70">
        <v>686147</v>
      </c>
      <c r="F29" s="142">
        <v>1</v>
      </c>
      <c r="G29" s="142"/>
      <c r="H29" s="143"/>
      <c r="I29" s="142"/>
      <c r="J29" s="66"/>
      <c r="K29" s="142"/>
      <c r="L29" s="66"/>
      <c r="M29" s="142"/>
      <c r="N29" s="66"/>
      <c r="O29" s="142"/>
      <c r="P29" s="66"/>
      <c r="Q29" s="142"/>
      <c r="R29" s="66"/>
      <c r="S29" s="142"/>
      <c r="T29" s="66"/>
      <c r="U29" s="142"/>
      <c r="V29" s="66"/>
      <c r="W29" s="142"/>
      <c r="X29" s="66"/>
      <c r="Y29" s="142"/>
      <c r="Z29" s="66"/>
      <c r="AA29" s="142"/>
      <c r="AB29" s="66"/>
      <c r="AC29" s="142"/>
      <c r="AD29" s="66"/>
      <c r="AE29" s="147">
        <v>7.5</v>
      </c>
      <c r="AF29" s="66">
        <f>ROUND(E29*AE29*F29,0)</f>
        <v>5146103</v>
      </c>
      <c r="AG29" s="142"/>
      <c r="AH29" s="66"/>
      <c r="AI29" s="142"/>
      <c r="AJ29" s="66"/>
      <c r="AK29" s="142"/>
      <c r="AL29" s="66"/>
      <c r="AM29" s="142"/>
      <c r="AN29" s="66"/>
      <c r="AO29" s="142"/>
      <c r="AP29" s="66"/>
      <c r="AQ29" s="142"/>
      <c r="AR29" s="66"/>
      <c r="AS29" s="142"/>
      <c r="AT29" s="66"/>
      <c r="AU29" s="142"/>
      <c r="AV29" s="66"/>
      <c r="AW29" s="142"/>
      <c r="AX29" s="66"/>
      <c r="AY29" s="142"/>
      <c r="AZ29" s="66"/>
      <c r="BA29" s="62">
        <f t="shared" si="23"/>
        <v>7.5</v>
      </c>
      <c r="BB29" s="61">
        <f t="shared" si="22"/>
        <v>5146103</v>
      </c>
      <c r="BC29" s="141"/>
      <c r="BD29" s="61"/>
    </row>
    <row r="30" spans="1:68" s="11" customFormat="1" ht="31.2" x14ac:dyDescent="0.3">
      <c r="A30" s="59"/>
      <c r="B30" s="146" t="s">
        <v>54</v>
      </c>
      <c r="C30" s="145" t="s">
        <v>50</v>
      </c>
      <c r="D30" s="144">
        <v>1</v>
      </c>
      <c r="E30" s="70">
        <v>686147</v>
      </c>
      <c r="F30" s="142">
        <v>1</v>
      </c>
      <c r="G30" s="142">
        <v>15</v>
      </c>
      <c r="H30" s="143">
        <f>+D30*E30*F30*G30</f>
        <v>10292205</v>
      </c>
      <c r="I30" s="142"/>
      <c r="J30" s="66">
        <f>ROUND(E30*I30,0)</f>
        <v>0</v>
      </c>
      <c r="K30" s="142"/>
      <c r="L30" s="66">
        <f>ROUND(E30*K30,0)</f>
        <v>0</v>
      </c>
      <c r="M30" s="142"/>
      <c r="N30" s="66">
        <f>ROUND(E30*M30,0)</f>
        <v>0</v>
      </c>
      <c r="O30" s="142"/>
      <c r="P30" s="66">
        <f>ROUND(E30*O30,0)</f>
        <v>0</v>
      </c>
      <c r="Q30" s="142">
        <v>0.8</v>
      </c>
      <c r="R30" s="66">
        <f>ROUND(E30*Q30*F30,0)</f>
        <v>548918</v>
      </c>
      <c r="S30" s="142">
        <v>1</v>
      </c>
      <c r="T30" s="66">
        <f>ROUND(E30*S30*F30,0)</f>
        <v>686147</v>
      </c>
      <c r="U30" s="142">
        <v>1</v>
      </c>
      <c r="V30" s="66">
        <f>ROUND(E30*U30*F30,0)</f>
        <v>686147</v>
      </c>
      <c r="W30" s="142">
        <v>1</v>
      </c>
      <c r="X30" s="66">
        <f>ROUND(E30*W30*F30,0)</f>
        <v>686147</v>
      </c>
      <c r="Y30" s="142">
        <v>1</v>
      </c>
      <c r="Z30" s="66">
        <f>ROUND(E30*Y30*F30,0)</f>
        <v>686147</v>
      </c>
      <c r="AA30" s="142">
        <v>1</v>
      </c>
      <c r="AB30" s="66">
        <f>ROUND(E30*AA30*F30,0)</f>
        <v>686147</v>
      </c>
      <c r="AC30" s="142">
        <v>1</v>
      </c>
      <c r="AD30" s="66">
        <f>ROUND(E30*AC30*F30,0)</f>
        <v>686147</v>
      </c>
      <c r="AE30" s="66"/>
      <c r="AF30" s="66"/>
      <c r="AG30" s="142">
        <v>1</v>
      </c>
      <c r="AH30" s="66">
        <f>ROUND(E30*AG30*F30,0)</f>
        <v>686147</v>
      </c>
      <c r="AI30" s="142">
        <v>1</v>
      </c>
      <c r="AJ30" s="66">
        <f>ROUND(E30*AI30*F30,0)</f>
        <v>686147</v>
      </c>
      <c r="AK30" s="142">
        <v>1</v>
      </c>
      <c r="AL30" s="66">
        <f>ROUND(E30*AK30*F30,0)</f>
        <v>686147</v>
      </c>
      <c r="AM30" s="142">
        <v>1</v>
      </c>
      <c r="AN30" s="66">
        <f>ROUND(E30*AM30*F30,0)</f>
        <v>686147</v>
      </c>
      <c r="AO30" s="142">
        <v>1</v>
      </c>
      <c r="AP30" s="66">
        <f>ROUND(E30*AO30*F30,0)</f>
        <v>686147</v>
      </c>
      <c r="AQ30" s="142">
        <v>1</v>
      </c>
      <c r="AR30" s="66">
        <f>ROUND(E30*AQ30*F30,0)</f>
        <v>686147</v>
      </c>
      <c r="AS30" s="142">
        <v>1</v>
      </c>
      <c r="AT30" s="66">
        <f>ROUND(E30*AS30*F30,0)</f>
        <v>686147</v>
      </c>
      <c r="AU30" s="142">
        <v>1</v>
      </c>
      <c r="AV30" s="66">
        <f>ROUND(E30*AU30*F30,0)</f>
        <v>686147</v>
      </c>
      <c r="AW30" s="142">
        <v>0.2</v>
      </c>
      <c r="AX30" s="66">
        <f>ROUND(E30*AW30*F30,0)</f>
        <v>137229</v>
      </c>
      <c r="AY30" s="142"/>
      <c r="AZ30" s="66">
        <f>ROUND(E30*AY30*F30,0)</f>
        <v>0</v>
      </c>
      <c r="BA30" s="62">
        <f t="shared" si="23"/>
        <v>15</v>
      </c>
      <c r="BB30" s="61">
        <f t="shared" si="22"/>
        <v>10292205</v>
      </c>
      <c r="BC30" s="141">
        <f t="shared" ref="BC30:BD33" si="24">G30-BA30</f>
        <v>0</v>
      </c>
      <c r="BD30" s="61">
        <f t="shared" si="24"/>
        <v>0</v>
      </c>
    </row>
    <row r="31" spans="1:68" s="11" customFormat="1" ht="31.2" x14ac:dyDescent="0.3">
      <c r="A31" s="59"/>
      <c r="B31" s="146" t="s">
        <v>53</v>
      </c>
      <c r="C31" s="145" t="s">
        <v>50</v>
      </c>
      <c r="D31" s="144">
        <v>1</v>
      </c>
      <c r="E31" s="70">
        <v>686147</v>
      </c>
      <c r="F31" s="142">
        <v>0.2</v>
      </c>
      <c r="G31" s="142">
        <v>4</v>
      </c>
      <c r="H31" s="143">
        <f>+D31*E31*F31*G31</f>
        <v>548917.6</v>
      </c>
      <c r="I31" s="149">
        <v>0.8</v>
      </c>
      <c r="J31" s="148">
        <f>$E$31*I31*$F31</f>
        <v>109783.52</v>
      </c>
      <c r="K31" s="142">
        <v>1</v>
      </c>
      <c r="L31" s="148">
        <f>$E$31*K31*$F31</f>
        <v>137229.4</v>
      </c>
      <c r="M31" s="142">
        <v>1</v>
      </c>
      <c r="N31" s="148">
        <f>$E$31*M31*$F31</f>
        <v>137229.4</v>
      </c>
      <c r="O31" s="142">
        <v>1</v>
      </c>
      <c r="P31" s="148">
        <f>$E$31*O31*$F31</f>
        <v>137229.4</v>
      </c>
      <c r="Q31" s="149">
        <f>0.2</f>
        <v>0.2</v>
      </c>
      <c r="R31" s="148">
        <f>$E$31*Q31*$F31</f>
        <v>27445.88</v>
      </c>
      <c r="S31" s="142"/>
      <c r="T31" s="66">
        <f>ROUND(E31*S31*F31,0)</f>
        <v>0</v>
      </c>
      <c r="U31" s="142"/>
      <c r="V31" s="66">
        <f>ROUND(E31*U31*F31,0)</f>
        <v>0</v>
      </c>
      <c r="W31" s="142"/>
      <c r="X31" s="66">
        <f>ROUND(E31*W31*F31,0)</f>
        <v>0</v>
      </c>
      <c r="Y31" s="142"/>
      <c r="Z31" s="66">
        <f>ROUND(E31*Y31*F31,0)</f>
        <v>0</v>
      </c>
      <c r="AA31" s="142"/>
      <c r="AB31" s="66">
        <f>ROUND(E31*AA31*F31,0)</f>
        <v>0</v>
      </c>
      <c r="AC31" s="142"/>
      <c r="AD31" s="66">
        <f>ROUND(E31*AC31*F31,0)</f>
        <v>0</v>
      </c>
      <c r="AE31" s="66"/>
      <c r="AF31" s="66"/>
      <c r="AG31" s="142"/>
      <c r="AH31" s="66">
        <f>ROUND(E31*AG31*F31,0)</f>
        <v>0</v>
      </c>
      <c r="AI31" s="142"/>
      <c r="AJ31" s="66">
        <f>ROUND(E31*AI31*F31,0)</f>
        <v>0</v>
      </c>
      <c r="AK31" s="142"/>
      <c r="AL31" s="66">
        <f>ROUND(E31*AK31*F31,0)</f>
        <v>0</v>
      </c>
      <c r="AM31" s="142"/>
      <c r="AN31" s="66">
        <f>ROUND(E31*AM31*F31,0)</f>
        <v>0</v>
      </c>
      <c r="AO31" s="142"/>
      <c r="AP31" s="66">
        <f>ROUND(E31*AO31*F31,0)</f>
        <v>0</v>
      </c>
      <c r="AQ31" s="142"/>
      <c r="AR31" s="66">
        <f>ROUND(E31*AQ31*F31,0)</f>
        <v>0</v>
      </c>
      <c r="AS31" s="142"/>
      <c r="AT31" s="66">
        <f>ROUND(E31*AS31*F31,0)</f>
        <v>0</v>
      </c>
      <c r="AU31" s="142"/>
      <c r="AV31" s="66">
        <f>ROUND(E31*AU31*F31,0)</f>
        <v>0</v>
      </c>
      <c r="AW31" s="142"/>
      <c r="AX31" s="66">
        <f>ROUND(E31*AW31*F31,0)</f>
        <v>0</v>
      </c>
      <c r="AY31" s="142"/>
      <c r="AZ31" s="66">
        <f>ROUND(E31*AY31*F31,0)</f>
        <v>0</v>
      </c>
      <c r="BA31" s="62">
        <f t="shared" si="23"/>
        <v>4</v>
      </c>
      <c r="BB31" s="61">
        <f t="shared" si="22"/>
        <v>548917.6</v>
      </c>
      <c r="BC31" s="141">
        <f t="shared" si="24"/>
        <v>0</v>
      </c>
      <c r="BD31" s="61">
        <f t="shared" si="24"/>
        <v>0</v>
      </c>
    </row>
    <row r="32" spans="1:68" s="11" customFormat="1" ht="31.2" x14ac:dyDescent="0.3">
      <c r="A32" s="59"/>
      <c r="B32" s="146" t="s">
        <v>52</v>
      </c>
      <c r="C32" s="145" t="s">
        <v>50</v>
      </c>
      <c r="D32" s="144">
        <v>1</v>
      </c>
      <c r="E32" s="70">
        <v>686147</v>
      </c>
      <c r="F32" s="142">
        <v>0.5</v>
      </c>
      <c r="G32" s="142">
        <v>15</v>
      </c>
      <c r="H32" s="143">
        <f>+D32*E32*F32*G32</f>
        <v>5146102.5</v>
      </c>
      <c r="I32" s="142"/>
      <c r="J32" s="148">
        <f>ROUND(E32*I32,0)</f>
        <v>0</v>
      </c>
      <c r="K32" s="142"/>
      <c r="L32" s="66">
        <f>ROUND(E32*K32,0)</f>
        <v>0</v>
      </c>
      <c r="M32" s="142"/>
      <c r="N32" s="66">
        <f>ROUND(E32*M32,0)</f>
        <v>0</v>
      </c>
      <c r="O32" s="142"/>
      <c r="P32" s="66">
        <f>ROUND(E32*O32,0)</f>
        <v>0</v>
      </c>
      <c r="Q32" s="142">
        <v>0.8</v>
      </c>
      <c r="R32" s="66">
        <f>ROUND(E32*Q32*F32,1)</f>
        <v>274458.8</v>
      </c>
      <c r="S32" s="142">
        <v>1</v>
      </c>
      <c r="T32" s="147">
        <f>ROUND(E32*S32*F32,1)</f>
        <v>343073.5</v>
      </c>
      <c r="U32" s="142">
        <v>1</v>
      </c>
      <c r="V32" s="66">
        <f>ROUND(E32*U32*F32,1)</f>
        <v>343073.5</v>
      </c>
      <c r="W32" s="142">
        <v>1</v>
      </c>
      <c r="X32" s="66">
        <f>ROUND(E32*W32*F32,1)</f>
        <v>343073.5</v>
      </c>
      <c r="Y32" s="142">
        <v>1</v>
      </c>
      <c r="Z32" s="66">
        <f>ROUND(E32*Y32*F32,1)</f>
        <v>343073.5</v>
      </c>
      <c r="AA32" s="142">
        <v>1</v>
      </c>
      <c r="AB32" s="66">
        <f>ROUND(E32*AA32*F32,1)</f>
        <v>343073.5</v>
      </c>
      <c r="AC32" s="142">
        <v>1</v>
      </c>
      <c r="AD32" s="66">
        <f>ROUND(E32*AC32*F32,1)</f>
        <v>343073.5</v>
      </c>
      <c r="AE32" s="147">
        <v>7.5</v>
      </c>
      <c r="AF32" s="66">
        <f>ROUND(E32*AE32*F32,0)</f>
        <v>2573051</v>
      </c>
      <c r="AG32" s="142">
        <v>1</v>
      </c>
      <c r="AH32" s="66">
        <f>ROUND(E32*AG32*F32,1)</f>
        <v>343073.5</v>
      </c>
      <c r="AI32" s="142">
        <v>1</v>
      </c>
      <c r="AJ32" s="66">
        <f>ROUND(E32*AI32*F32,1)</f>
        <v>343073.5</v>
      </c>
      <c r="AK32" s="142">
        <v>1</v>
      </c>
      <c r="AL32" s="66">
        <f>ROUND(E32*AK32*F32,1)</f>
        <v>343073.5</v>
      </c>
      <c r="AM32" s="142">
        <v>1</v>
      </c>
      <c r="AN32" s="66">
        <f>ROUND(E32*AM32*F32,1)</f>
        <v>343073.5</v>
      </c>
      <c r="AO32" s="142">
        <v>1</v>
      </c>
      <c r="AP32" s="66">
        <f>ROUND(E32*AO32*F32,1)</f>
        <v>343073.5</v>
      </c>
      <c r="AQ32" s="142">
        <v>1</v>
      </c>
      <c r="AR32" s="66">
        <f>ROUND(E32*AQ32*F32,1)</f>
        <v>343073.5</v>
      </c>
      <c r="AS32" s="142">
        <v>1</v>
      </c>
      <c r="AT32" s="66">
        <f>ROUND(E32*AS32*F32,1)</f>
        <v>343073.5</v>
      </c>
      <c r="AU32" s="142">
        <v>1</v>
      </c>
      <c r="AV32" s="66">
        <f>ROUND(E32*AU32*F32,1)</f>
        <v>343073.5</v>
      </c>
      <c r="AW32" s="142">
        <v>0.2</v>
      </c>
      <c r="AX32" s="66">
        <f>ROUND(E32*AW32*F32,1)</f>
        <v>68614.7</v>
      </c>
      <c r="AY32" s="142"/>
      <c r="AZ32" s="66">
        <f>ROUND(E32*AY32*F32,0)</f>
        <v>0</v>
      </c>
      <c r="BA32" s="62">
        <f t="shared" si="23"/>
        <v>22.5</v>
      </c>
      <c r="BB32" s="61">
        <f t="shared" si="22"/>
        <v>7719153.5</v>
      </c>
      <c r="BC32" s="141">
        <f t="shared" si="24"/>
        <v>-7.5</v>
      </c>
      <c r="BD32" s="61">
        <f t="shared" si="24"/>
        <v>-2573051</v>
      </c>
    </row>
    <row r="33" spans="1:68" s="11" customFormat="1" ht="31.2" x14ac:dyDescent="0.3">
      <c r="A33" s="59"/>
      <c r="B33" s="146" t="s">
        <v>51</v>
      </c>
      <c r="C33" s="145" t="s">
        <v>50</v>
      </c>
      <c r="D33" s="144">
        <v>1</v>
      </c>
      <c r="E33" s="70">
        <v>686147</v>
      </c>
      <c r="F33" s="142">
        <v>1</v>
      </c>
      <c r="G33" s="142">
        <v>15</v>
      </c>
      <c r="H33" s="143">
        <f>+D33*E33*F33*G33</f>
        <v>10292205</v>
      </c>
      <c r="I33" s="142"/>
      <c r="J33" s="66">
        <f>ROUND(E33*I33,0)</f>
        <v>0</v>
      </c>
      <c r="K33" s="142"/>
      <c r="L33" s="66">
        <f>ROUND(E33*K33,0)</f>
        <v>0</v>
      </c>
      <c r="M33" s="142"/>
      <c r="N33" s="66">
        <f>ROUND(E33*M33,0)</f>
        <v>0</v>
      </c>
      <c r="O33" s="142"/>
      <c r="P33" s="66">
        <f>ROUND(E33*O33,0)</f>
        <v>0</v>
      </c>
      <c r="Q33" s="142">
        <v>0.8</v>
      </c>
      <c r="R33" s="66">
        <f>ROUND(E33*Q33*F33,0)</f>
        <v>548918</v>
      </c>
      <c r="S33" s="142">
        <v>1</v>
      </c>
      <c r="T33" s="66">
        <f>ROUND(E33*S33*F33,0)</f>
        <v>686147</v>
      </c>
      <c r="U33" s="142">
        <v>1</v>
      </c>
      <c r="V33" s="66">
        <f>ROUND(E33*U33*F33,0)</f>
        <v>686147</v>
      </c>
      <c r="W33" s="142">
        <v>1</v>
      </c>
      <c r="X33" s="66">
        <f>ROUND(E33*W33*F33,0)</f>
        <v>686147</v>
      </c>
      <c r="Y33" s="142">
        <v>1</v>
      </c>
      <c r="Z33" s="66">
        <f>ROUND(E33*Y33*F33,0)</f>
        <v>686147</v>
      </c>
      <c r="AA33" s="142">
        <v>1</v>
      </c>
      <c r="AB33" s="66">
        <f>ROUND(E33*AA33*F33,0)</f>
        <v>686147</v>
      </c>
      <c r="AC33" s="142">
        <v>1</v>
      </c>
      <c r="AD33" s="66">
        <f>ROUND(E33*AC33*F33,0)</f>
        <v>686147</v>
      </c>
      <c r="AE33" s="66"/>
      <c r="AF33" s="66"/>
      <c r="AG33" s="142">
        <v>1</v>
      </c>
      <c r="AH33" s="66">
        <f>ROUND(E33*AG33*F33,0)</f>
        <v>686147</v>
      </c>
      <c r="AI33" s="142">
        <v>1</v>
      </c>
      <c r="AJ33" s="66">
        <f>ROUND(E33*AI33*F33,0)</f>
        <v>686147</v>
      </c>
      <c r="AK33" s="142">
        <v>1</v>
      </c>
      <c r="AL33" s="66">
        <f>ROUND(E33*AK33*F33,0)</f>
        <v>686147</v>
      </c>
      <c r="AM33" s="142">
        <v>1</v>
      </c>
      <c r="AN33" s="66">
        <f>ROUND(E33*AM33*F33,0)</f>
        <v>686147</v>
      </c>
      <c r="AO33" s="142">
        <v>1</v>
      </c>
      <c r="AP33" s="66">
        <f>ROUND(E33*AO33*F33,0)</f>
        <v>686147</v>
      </c>
      <c r="AQ33" s="142">
        <v>1</v>
      </c>
      <c r="AR33" s="66">
        <f>ROUND(E33*AQ33*F33,0)</f>
        <v>686147</v>
      </c>
      <c r="AS33" s="142">
        <v>1</v>
      </c>
      <c r="AT33" s="66">
        <f>ROUND(E33*AS33*F33,0)</f>
        <v>686147</v>
      </c>
      <c r="AU33" s="142">
        <v>1</v>
      </c>
      <c r="AV33" s="66">
        <f>ROUND(E33*AU33*F33,0)</f>
        <v>686147</v>
      </c>
      <c r="AW33" s="142">
        <v>0.2</v>
      </c>
      <c r="AX33" s="66">
        <f>ROUND(E33*AW33*F33,0)</f>
        <v>137229</v>
      </c>
      <c r="AY33" s="142"/>
      <c r="AZ33" s="66">
        <f>ROUND(E33*AY33*F33,0)</f>
        <v>0</v>
      </c>
      <c r="BA33" s="62">
        <f t="shared" si="23"/>
        <v>15</v>
      </c>
      <c r="BB33" s="61">
        <f t="shared" si="22"/>
        <v>10292205</v>
      </c>
      <c r="BC33" s="141">
        <f t="shared" si="24"/>
        <v>0</v>
      </c>
      <c r="BD33" s="61">
        <f t="shared" si="24"/>
        <v>0</v>
      </c>
    </row>
    <row r="34" spans="1:68" s="11" customFormat="1" ht="23.4" thickBot="1" x14ac:dyDescent="0.3">
      <c r="A34" s="140"/>
      <c r="B34" s="139" t="s">
        <v>49</v>
      </c>
      <c r="C34" s="138"/>
      <c r="D34" s="22"/>
      <c r="E34" s="22"/>
      <c r="F34" s="22"/>
      <c r="G34" s="22"/>
      <c r="H34" s="137">
        <f>H24+H25</f>
        <v>668209128.60000002</v>
      </c>
      <c r="I34" s="134"/>
      <c r="J34" s="135">
        <f>+J24+J25</f>
        <v>2028663.52</v>
      </c>
      <c r="K34" s="136"/>
      <c r="L34" s="135">
        <f>+L24+L25</f>
        <v>2535829.4</v>
      </c>
      <c r="M34" s="134"/>
      <c r="N34" s="133">
        <f>+N24+N25</f>
        <v>2535829.4</v>
      </c>
      <c r="O34" s="134"/>
      <c r="P34" s="133">
        <f>+P24+P25</f>
        <v>2535829.4</v>
      </c>
      <c r="Q34" s="134"/>
      <c r="R34" s="133">
        <f>+R24+R25</f>
        <v>34677475.979999997</v>
      </c>
      <c r="S34" s="134"/>
      <c r="T34" s="133">
        <f>+T24+T25</f>
        <v>42712885.600000001</v>
      </c>
      <c r="U34" s="134"/>
      <c r="V34" s="133">
        <f>+V24+V25</f>
        <v>42712885.600000001</v>
      </c>
      <c r="W34" s="134"/>
      <c r="X34" s="133">
        <f>+X24+X25</f>
        <v>42712885.600000001</v>
      </c>
      <c r="Y34" s="134"/>
      <c r="Z34" s="133">
        <f>+Z24+Z25</f>
        <v>42712885.600000001</v>
      </c>
      <c r="AA34" s="134"/>
      <c r="AB34" s="133">
        <f>+AB24+AB25</f>
        <v>42712885.600000001</v>
      </c>
      <c r="AC34" s="134"/>
      <c r="AD34" s="133">
        <f>+AD24+AD25</f>
        <v>42712885.600000001</v>
      </c>
      <c r="AE34" s="133"/>
      <c r="AF34" s="133">
        <f>+AF24+AF25</f>
        <v>86255404</v>
      </c>
      <c r="AG34" s="134"/>
      <c r="AH34" s="133">
        <f>+AH24+AH25</f>
        <v>42712885.600000001</v>
      </c>
      <c r="AI34" s="134"/>
      <c r="AJ34" s="133">
        <f>+AJ24+AJ25</f>
        <v>42712885.600000001</v>
      </c>
      <c r="AK34" s="134"/>
      <c r="AL34" s="133">
        <f>+AL24+AL25</f>
        <v>42712885.600000001</v>
      </c>
      <c r="AM34" s="134"/>
      <c r="AN34" s="133">
        <f>+AN24+AN25</f>
        <v>42712885.600000001</v>
      </c>
      <c r="AO34" s="134"/>
      <c r="AP34" s="133">
        <f>+AP24+AP25</f>
        <v>42712885.600000001</v>
      </c>
      <c r="AQ34" s="134"/>
      <c r="AR34" s="133">
        <f>+AR24+AR25</f>
        <v>42712885.600000001</v>
      </c>
      <c r="AS34" s="134"/>
      <c r="AT34" s="133">
        <f>+AT24+AT25</f>
        <v>42712885.600000001</v>
      </c>
      <c r="AU34" s="134"/>
      <c r="AV34" s="133">
        <f>+AV24+AV25</f>
        <v>42712885.600000001</v>
      </c>
      <c r="AW34" s="134"/>
      <c r="AX34" s="133">
        <f>+AX24+AX25</f>
        <v>22440597.5</v>
      </c>
      <c r="AY34" s="134"/>
      <c r="AZ34" s="133">
        <f>+AZ24+AZ25</f>
        <v>3474505</v>
      </c>
      <c r="BA34" s="132"/>
      <c r="BB34" s="130">
        <f>+BB24+BB25</f>
        <v>754464532.60000002</v>
      </c>
      <c r="BC34" s="131"/>
      <c r="BD34" s="130">
        <f>+BD24+BD25</f>
        <v>-52692904.000000007</v>
      </c>
      <c r="BF34" s="12">
        <f>+H34+AF34</f>
        <v>754464532.60000002</v>
      </c>
      <c r="BH34" s="129"/>
      <c r="BI34" s="129"/>
      <c r="BJ34" s="129"/>
      <c r="BK34" s="129"/>
      <c r="BL34" s="129"/>
      <c r="BM34" s="129"/>
      <c r="BN34" s="129"/>
      <c r="BO34" s="129"/>
      <c r="BP34" s="129"/>
    </row>
    <row r="35" spans="1:68" s="95" customFormat="1" ht="22.8" x14ac:dyDescent="0.3">
      <c r="A35" s="48" t="s">
        <v>48</v>
      </c>
      <c r="B35" s="128" t="s">
        <v>47</v>
      </c>
      <c r="C35" s="127"/>
      <c r="D35" s="126"/>
      <c r="E35" s="124"/>
      <c r="F35" s="125"/>
      <c r="G35" s="124"/>
      <c r="H35" s="123"/>
      <c r="I35" s="122"/>
      <c r="J35" s="121"/>
      <c r="K35" s="122"/>
      <c r="L35" s="121"/>
      <c r="M35" s="122"/>
      <c r="N35" s="121"/>
      <c r="O35" s="122"/>
      <c r="P35" s="121"/>
      <c r="Q35" s="122"/>
      <c r="R35" s="121"/>
      <c r="S35" s="122"/>
      <c r="T35" s="121"/>
      <c r="U35" s="122"/>
      <c r="V35" s="121"/>
      <c r="W35" s="122"/>
      <c r="X35" s="121"/>
      <c r="Y35" s="122"/>
      <c r="Z35" s="121"/>
      <c r="AA35" s="122"/>
      <c r="AB35" s="121"/>
      <c r="AC35" s="122"/>
      <c r="AD35" s="121"/>
      <c r="AE35" s="121"/>
      <c r="AF35" s="121"/>
      <c r="AG35" s="122"/>
      <c r="AH35" s="121"/>
      <c r="AI35" s="122"/>
      <c r="AJ35" s="121"/>
      <c r="AK35" s="122"/>
      <c r="AL35" s="121"/>
      <c r="AM35" s="122"/>
      <c r="AN35" s="121"/>
      <c r="AO35" s="122"/>
      <c r="AP35" s="121"/>
      <c r="AQ35" s="122"/>
      <c r="AR35" s="121"/>
      <c r="AS35" s="122"/>
      <c r="AT35" s="121"/>
      <c r="AU35" s="122"/>
      <c r="AV35" s="121"/>
      <c r="AW35" s="122"/>
      <c r="AX35" s="121"/>
      <c r="AY35" s="122"/>
      <c r="AZ35" s="121"/>
      <c r="BA35" s="120"/>
      <c r="BB35" s="119"/>
      <c r="BC35" s="118"/>
      <c r="BD35" s="117"/>
      <c r="BE35" s="11"/>
    </row>
    <row r="36" spans="1:68" s="95" customFormat="1" ht="23.4" thickBot="1" x14ac:dyDescent="0.35">
      <c r="A36" s="116">
        <v>3</v>
      </c>
      <c r="B36" s="115" t="s">
        <v>46</v>
      </c>
      <c r="C36" s="114"/>
      <c r="D36" s="113"/>
      <c r="E36" s="112"/>
      <c r="F36" s="111"/>
      <c r="G36" s="110"/>
      <c r="H36" s="109"/>
      <c r="I36" s="107"/>
      <c r="J36" s="106"/>
      <c r="K36" s="107"/>
      <c r="L36" s="106"/>
      <c r="M36" s="107"/>
      <c r="N36" s="106"/>
      <c r="O36" s="107"/>
      <c r="P36" s="106"/>
      <c r="Q36" s="107"/>
      <c r="R36" s="106"/>
      <c r="S36" s="107"/>
      <c r="T36" s="106"/>
      <c r="U36" s="107"/>
      <c r="V36" s="106"/>
      <c r="W36" s="107"/>
      <c r="X36" s="106"/>
      <c r="Y36" s="107"/>
      <c r="Z36" s="106"/>
      <c r="AA36" s="107"/>
      <c r="AB36" s="106"/>
      <c r="AC36" s="107"/>
      <c r="AD36" s="106"/>
      <c r="AE36" s="108"/>
      <c r="AF36" s="108"/>
      <c r="AG36" s="107"/>
      <c r="AH36" s="106"/>
      <c r="AI36" s="107"/>
      <c r="AJ36" s="106"/>
      <c r="AK36" s="107"/>
      <c r="AL36" s="106"/>
      <c r="AM36" s="107"/>
      <c r="AN36" s="106"/>
      <c r="AO36" s="107"/>
      <c r="AP36" s="106"/>
      <c r="AQ36" s="107"/>
      <c r="AR36" s="106"/>
      <c r="AS36" s="107"/>
      <c r="AT36" s="106"/>
      <c r="AU36" s="107"/>
      <c r="AV36" s="106"/>
      <c r="AW36" s="107"/>
      <c r="AX36" s="106"/>
      <c r="AY36" s="107"/>
      <c r="AZ36" s="106"/>
      <c r="BA36" s="105"/>
      <c r="BB36" s="104"/>
      <c r="BC36" s="103"/>
      <c r="BD36" s="102"/>
      <c r="BE36" s="11"/>
    </row>
    <row r="37" spans="1:68" s="95" customFormat="1" ht="66.75" customHeight="1" thickBot="1" x14ac:dyDescent="0.35">
      <c r="A37" s="101" t="s">
        <v>45</v>
      </c>
      <c r="B37" s="100" t="s">
        <v>44</v>
      </c>
      <c r="C37" s="98" t="s">
        <v>43</v>
      </c>
      <c r="D37" s="98" t="s">
        <v>39</v>
      </c>
      <c r="E37" s="98" t="s">
        <v>42</v>
      </c>
      <c r="F37" s="98" t="s">
        <v>41</v>
      </c>
      <c r="G37" s="98" t="s">
        <v>38</v>
      </c>
      <c r="H37" s="98" t="s">
        <v>40</v>
      </c>
      <c r="I37" s="98" t="s">
        <v>39</v>
      </c>
      <c r="J37" s="99" t="s">
        <v>37</v>
      </c>
      <c r="K37" s="98" t="s">
        <v>39</v>
      </c>
      <c r="L37" s="99" t="s">
        <v>37</v>
      </c>
      <c r="M37" s="98" t="s">
        <v>39</v>
      </c>
      <c r="N37" s="99" t="s">
        <v>37</v>
      </c>
      <c r="O37" s="98" t="s">
        <v>39</v>
      </c>
      <c r="P37" s="99" t="s">
        <v>37</v>
      </c>
      <c r="Q37" s="98" t="s">
        <v>39</v>
      </c>
      <c r="R37" s="99" t="s">
        <v>37</v>
      </c>
      <c r="S37" s="98" t="s">
        <v>39</v>
      </c>
      <c r="T37" s="99" t="s">
        <v>37</v>
      </c>
      <c r="U37" s="98" t="s">
        <v>39</v>
      </c>
      <c r="V37" s="99" t="s">
        <v>37</v>
      </c>
      <c r="W37" s="98" t="s">
        <v>39</v>
      </c>
      <c r="X37" s="99" t="s">
        <v>37</v>
      </c>
      <c r="Y37" s="98" t="s">
        <v>39</v>
      </c>
      <c r="Z37" s="99" t="s">
        <v>37</v>
      </c>
      <c r="AA37" s="98" t="s">
        <v>39</v>
      </c>
      <c r="AB37" s="99" t="s">
        <v>37</v>
      </c>
      <c r="AC37" s="98" t="s">
        <v>39</v>
      </c>
      <c r="AD37" s="99" t="s">
        <v>37</v>
      </c>
      <c r="AE37" s="99"/>
      <c r="AF37" s="99"/>
      <c r="AG37" s="98" t="s">
        <v>39</v>
      </c>
      <c r="AH37" s="99" t="s">
        <v>37</v>
      </c>
      <c r="AI37" s="98" t="s">
        <v>39</v>
      </c>
      <c r="AJ37" s="99" t="s">
        <v>37</v>
      </c>
      <c r="AK37" s="98" t="s">
        <v>39</v>
      </c>
      <c r="AL37" s="99" t="s">
        <v>37</v>
      </c>
      <c r="AM37" s="98" t="s">
        <v>39</v>
      </c>
      <c r="AN37" s="99" t="s">
        <v>37</v>
      </c>
      <c r="AO37" s="98" t="s">
        <v>39</v>
      </c>
      <c r="AP37" s="99" t="s">
        <v>37</v>
      </c>
      <c r="AQ37" s="98" t="s">
        <v>39</v>
      </c>
      <c r="AR37" s="99" t="s">
        <v>37</v>
      </c>
      <c r="AS37" s="98" t="s">
        <v>39</v>
      </c>
      <c r="AT37" s="99" t="s">
        <v>37</v>
      </c>
      <c r="AU37" s="98" t="s">
        <v>39</v>
      </c>
      <c r="AV37" s="99" t="s">
        <v>37</v>
      </c>
      <c r="AW37" s="98" t="s">
        <v>39</v>
      </c>
      <c r="AX37" s="99" t="s">
        <v>37</v>
      </c>
      <c r="AY37" s="98" t="s">
        <v>39</v>
      </c>
      <c r="AZ37" s="99" t="s">
        <v>37</v>
      </c>
      <c r="BA37" s="98" t="s">
        <v>39</v>
      </c>
      <c r="BB37" s="96" t="s">
        <v>37</v>
      </c>
      <c r="BC37" s="97" t="s">
        <v>38</v>
      </c>
      <c r="BD37" s="96" t="s">
        <v>37</v>
      </c>
      <c r="BE37" s="11"/>
    </row>
    <row r="38" spans="1:68" s="81" customFormat="1" ht="60" x14ac:dyDescent="0.3">
      <c r="A38" s="94" t="s">
        <v>36</v>
      </c>
      <c r="B38" s="93" t="s">
        <v>35</v>
      </c>
      <c r="C38" s="92" t="s">
        <v>6</v>
      </c>
      <c r="D38" s="67">
        <v>1</v>
      </c>
      <c r="E38" s="89">
        <v>6100000</v>
      </c>
      <c r="F38" s="91">
        <v>1</v>
      </c>
      <c r="G38" s="90">
        <v>16</v>
      </c>
      <c r="H38" s="89">
        <f t="shared" ref="H38:H45" si="25">D38*E38*F38*G38</f>
        <v>97600000</v>
      </c>
      <c r="I38" s="67"/>
      <c r="J38" s="69">
        <f t="shared" ref="J38:J45" si="26">ROUND(I38*E38,0)</f>
        <v>0</v>
      </c>
      <c r="K38" s="67"/>
      <c r="L38" s="69">
        <f t="shared" ref="L38:L45" si="27">ROUND(E38*K38,0)</f>
        <v>0</v>
      </c>
      <c r="M38" s="67"/>
      <c r="N38" s="69">
        <f t="shared" ref="N38:N45" si="28">ROUND(E38*M38,0)</f>
        <v>0</v>
      </c>
      <c r="O38" s="67"/>
      <c r="P38" s="69">
        <f t="shared" ref="P38:P45" si="29">ROUND(E38*O38,0)</f>
        <v>0</v>
      </c>
      <c r="Q38" s="67">
        <v>0.8</v>
      </c>
      <c r="R38" s="69">
        <f t="shared" ref="R38:R45" si="30">ROUND(Q38*E38*D38,0)</f>
        <v>4880000</v>
      </c>
      <c r="S38" s="67">
        <v>1</v>
      </c>
      <c r="T38" s="66">
        <f>ROUND($E$38*S38*$D$38,0)</f>
        <v>6100000</v>
      </c>
      <c r="U38" s="67">
        <v>1</v>
      </c>
      <c r="V38" s="66">
        <f>ROUND($E$38*U38*$D$38,0)</f>
        <v>6100000</v>
      </c>
      <c r="W38" s="67">
        <v>1</v>
      </c>
      <c r="X38" s="66">
        <f>ROUND($E$38*W38*$D$38,0)</f>
        <v>6100000</v>
      </c>
      <c r="Y38" s="67">
        <v>1</v>
      </c>
      <c r="Z38" s="66">
        <f t="shared" ref="Z38:Z45" si="31">ROUND(E38*Y38*D38,0)</f>
        <v>6100000</v>
      </c>
      <c r="AA38" s="67">
        <v>1</v>
      </c>
      <c r="AB38" s="66">
        <f t="shared" ref="AB38:AB45" si="32">ROUND(E38*AA38*D38,0)</f>
        <v>6100000</v>
      </c>
      <c r="AC38" s="67">
        <v>1</v>
      </c>
      <c r="AD38" s="66">
        <f t="shared" ref="AD38:AD45" si="33">ROUND(E38*AC38*D38,0)</f>
        <v>6100000</v>
      </c>
      <c r="AE38" s="68"/>
      <c r="AF38" s="68"/>
      <c r="AG38" s="67">
        <v>1</v>
      </c>
      <c r="AH38" s="66">
        <f t="shared" ref="AH38:AH45" si="34">ROUND(E38*AG38*D38,0)</f>
        <v>6100000</v>
      </c>
      <c r="AI38" s="67">
        <v>1</v>
      </c>
      <c r="AJ38" s="66">
        <f t="shared" ref="AJ38:AJ45" si="35">ROUND(E38*AI38*D38,0)</f>
        <v>6100000</v>
      </c>
      <c r="AK38" s="67">
        <v>1</v>
      </c>
      <c r="AL38" s="66">
        <f t="shared" ref="AL38:AL45" si="36">ROUND(E38*AK38*D38,0)</f>
        <v>6100000</v>
      </c>
      <c r="AM38" s="67">
        <v>1</v>
      </c>
      <c r="AN38" s="66">
        <f t="shared" ref="AN38:AN45" si="37">ROUND(E38*AM38*D38,0)</f>
        <v>6100000</v>
      </c>
      <c r="AO38" s="67">
        <v>1</v>
      </c>
      <c r="AP38" s="66">
        <f t="shared" ref="AP38:AP45" si="38">ROUND(E38*AO38*D38,0)</f>
        <v>6100000</v>
      </c>
      <c r="AQ38" s="67">
        <v>1</v>
      </c>
      <c r="AR38" s="66">
        <f t="shared" ref="AR38:AR45" si="39">ROUND(E38*AQ38*D38,0)</f>
        <v>6100000</v>
      </c>
      <c r="AS38" s="67">
        <v>1</v>
      </c>
      <c r="AT38" s="66">
        <f t="shared" ref="AT38:AT45" si="40">ROUND(E38*AS38*D38,0)</f>
        <v>6100000</v>
      </c>
      <c r="AU38" s="67">
        <v>1</v>
      </c>
      <c r="AV38" s="66">
        <f t="shared" ref="AV38:AV45" si="41">ROUND(E38*AU38*D38,0)</f>
        <v>6100000</v>
      </c>
      <c r="AW38" s="67">
        <v>1</v>
      </c>
      <c r="AX38" s="66">
        <f t="shared" ref="AX38:AX46" si="42">ROUND(E38*AW38*D38,0)</f>
        <v>6100000</v>
      </c>
      <c r="AY38" s="67">
        <v>0.2</v>
      </c>
      <c r="AZ38" s="66">
        <f t="shared" ref="AZ38:AZ45" si="43">ROUND(E38*AY38*D38,0)</f>
        <v>1220000</v>
      </c>
      <c r="BA38" s="62">
        <f t="shared" ref="BA38:BA45" si="44">SUM(I38+K38+M38+O38+Q38+S38+U38+W38+Y38+AA38+AC38+AG38+AI38+AK38+AM38+AO38+AQ38+AS38+AU38+AW38+AY38)+AE38</f>
        <v>16</v>
      </c>
      <c r="BB38" s="61">
        <f t="shared" ref="BB38:BB45" si="45">+J38+L38+N38+P38+R38+T38+V38+X38+Z38+AB38+AD38+AH38+AJ38+AL38+AN38+AP38+AR38+AT38+AV38+AX38+AZ38+AF38</f>
        <v>97600000</v>
      </c>
      <c r="BC38" s="65">
        <f t="shared" ref="BC38:BD45" si="46">G38-BA38</f>
        <v>0</v>
      </c>
      <c r="BD38" s="60">
        <f t="shared" si="46"/>
        <v>0</v>
      </c>
    </row>
    <row r="39" spans="1:68" s="81" customFormat="1" ht="22.8" x14ac:dyDescent="0.3">
      <c r="A39" s="84" t="s">
        <v>34</v>
      </c>
      <c r="B39" s="88" t="s">
        <v>33</v>
      </c>
      <c r="C39" s="87" t="s">
        <v>6</v>
      </c>
      <c r="D39" s="75">
        <v>1</v>
      </c>
      <c r="E39" s="82">
        <v>600000</v>
      </c>
      <c r="F39" s="78">
        <v>1</v>
      </c>
      <c r="G39" s="77">
        <v>15</v>
      </c>
      <c r="H39" s="82">
        <f t="shared" si="25"/>
        <v>9000000</v>
      </c>
      <c r="I39" s="67"/>
      <c r="J39" s="69">
        <f t="shared" si="26"/>
        <v>0</v>
      </c>
      <c r="K39" s="67"/>
      <c r="L39" s="69">
        <f t="shared" si="27"/>
        <v>0</v>
      </c>
      <c r="M39" s="67"/>
      <c r="N39" s="69">
        <f t="shared" si="28"/>
        <v>0</v>
      </c>
      <c r="O39" s="67"/>
      <c r="P39" s="69">
        <f t="shared" si="29"/>
        <v>0</v>
      </c>
      <c r="Q39" s="67">
        <v>0.8</v>
      </c>
      <c r="R39" s="69">
        <f t="shared" si="30"/>
        <v>480000</v>
      </c>
      <c r="S39" s="67">
        <v>1</v>
      </c>
      <c r="T39" s="66">
        <f t="shared" ref="T39:T45" si="47">ROUND(E39*S39*D39,0)</f>
        <v>600000</v>
      </c>
      <c r="U39" s="67">
        <v>1</v>
      </c>
      <c r="V39" s="66">
        <f t="shared" ref="V39:V45" si="48">ROUND(E39*U39*D39,0)</f>
        <v>600000</v>
      </c>
      <c r="W39" s="67">
        <v>1</v>
      </c>
      <c r="X39" s="66">
        <f t="shared" ref="X39:X45" si="49">ROUND(E39*W39*D39,0)</f>
        <v>600000</v>
      </c>
      <c r="Y39" s="67">
        <v>1</v>
      </c>
      <c r="Z39" s="66">
        <f t="shared" si="31"/>
        <v>600000</v>
      </c>
      <c r="AA39" s="67">
        <v>1</v>
      </c>
      <c r="AB39" s="66">
        <f t="shared" si="32"/>
        <v>600000</v>
      </c>
      <c r="AC39" s="67">
        <v>1</v>
      </c>
      <c r="AD39" s="66">
        <f t="shared" si="33"/>
        <v>600000</v>
      </c>
      <c r="AE39" s="86">
        <v>7.5</v>
      </c>
      <c r="AF39" s="66">
        <f>ROUND(E39*AE39*F39,0)</f>
        <v>4500000</v>
      </c>
      <c r="AG39" s="67">
        <v>1</v>
      </c>
      <c r="AH39" s="66">
        <f t="shared" si="34"/>
        <v>600000</v>
      </c>
      <c r="AI39" s="67">
        <v>1</v>
      </c>
      <c r="AJ39" s="66">
        <f t="shared" si="35"/>
        <v>600000</v>
      </c>
      <c r="AK39" s="67">
        <v>1</v>
      </c>
      <c r="AL39" s="66">
        <f t="shared" si="36"/>
        <v>600000</v>
      </c>
      <c r="AM39" s="67">
        <v>1</v>
      </c>
      <c r="AN39" s="66">
        <f t="shared" si="37"/>
        <v>600000</v>
      </c>
      <c r="AO39" s="67">
        <v>1</v>
      </c>
      <c r="AP39" s="66">
        <f t="shared" si="38"/>
        <v>600000</v>
      </c>
      <c r="AQ39" s="67">
        <v>1</v>
      </c>
      <c r="AR39" s="66">
        <f t="shared" si="39"/>
        <v>600000</v>
      </c>
      <c r="AS39" s="67">
        <v>1</v>
      </c>
      <c r="AT39" s="66">
        <f t="shared" si="40"/>
        <v>600000</v>
      </c>
      <c r="AU39" s="67">
        <v>1</v>
      </c>
      <c r="AV39" s="66">
        <f t="shared" si="41"/>
        <v>600000</v>
      </c>
      <c r="AW39" s="67">
        <v>0.2</v>
      </c>
      <c r="AX39" s="66">
        <f t="shared" si="42"/>
        <v>120000</v>
      </c>
      <c r="AY39" s="67"/>
      <c r="AZ39" s="66">
        <f t="shared" si="43"/>
        <v>0</v>
      </c>
      <c r="BA39" s="62">
        <f t="shared" si="44"/>
        <v>22.5</v>
      </c>
      <c r="BB39" s="61">
        <f t="shared" si="45"/>
        <v>13500000</v>
      </c>
      <c r="BC39" s="65">
        <f t="shared" si="46"/>
        <v>-7.5</v>
      </c>
      <c r="BD39" s="60">
        <f t="shared" si="46"/>
        <v>-4500000</v>
      </c>
    </row>
    <row r="40" spans="1:68" s="81" customFormat="1" ht="22.8" x14ac:dyDescent="0.3">
      <c r="A40" s="84" t="s">
        <v>32</v>
      </c>
      <c r="B40" s="83" t="s">
        <v>31</v>
      </c>
      <c r="C40" s="85" t="s">
        <v>6</v>
      </c>
      <c r="D40" s="75">
        <v>1</v>
      </c>
      <c r="E40" s="82">
        <v>200000</v>
      </c>
      <c r="F40" s="78">
        <v>1</v>
      </c>
      <c r="G40" s="77">
        <v>16</v>
      </c>
      <c r="H40" s="82">
        <f t="shared" si="25"/>
        <v>3200000</v>
      </c>
      <c r="I40" s="67"/>
      <c r="J40" s="69">
        <f t="shared" si="26"/>
        <v>0</v>
      </c>
      <c r="K40" s="67"/>
      <c r="L40" s="69">
        <f t="shared" si="27"/>
        <v>0</v>
      </c>
      <c r="M40" s="67"/>
      <c r="N40" s="69">
        <f t="shared" si="28"/>
        <v>0</v>
      </c>
      <c r="O40" s="67"/>
      <c r="P40" s="69">
        <f t="shared" si="29"/>
        <v>0</v>
      </c>
      <c r="Q40" s="67">
        <v>0.8</v>
      </c>
      <c r="R40" s="69">
        <f t="shared" si="30"/>
        <v>160000</v>
      </c>
      <c r="S40" s="67">
        <v>1</v>
      </c>
      <c r="T40" s="66">
        <f t="shared" si="47"/>
        <v>200000</v>
      </c>
      <c r="U40" s="67">
        <v>1</v>
      </c>
      <c r="V40" s="66">
        <f t="shared" si="48"/>
        <v>200000</v>
      </c>
      <c r="W40" s="67">
        <v>1</v>
      </c>
      <c r="X40" s="66">
        <f t="shared" si="49"/>
        <v>200000</v>
      </c>
      <c r="Y40" s="67">
        <v>1</v>
      </c>
      <c r="Z40" s="66">
        <f t="shared" si="31"/>
        <v>200000</v>
      </c>
      <c r="AA40" s="67">
        <v>1</v>
      </c>
      <c r="AB40" s="66">
        <f t="shared" si="32"/>
        <v>200000</v>
      </c>
      <c r="AC40" s="67">
        <v>1</v>
      </c>
      <c r="AD40" s="66">
        <f t="shared" si="33"/>
        <v>200000</v>
      </c>
      <c r="AE40" s="68"/>
      <c r="AF40" s="68"/>
      <c r="AG40" s="67">
        <v>1</v>
      </c>
      <c r="AH40" s="66">
        <f t="shared" si="34"/>
        <v>200000</v>
      </c>
      <c r="AI40" s="67">
        <v>1</v>
      </c>
      <c r="AJ40" s="66">
        <f t="shared" si="35"/>
        <v>200000</v>
      </c>
      <c r="AK40" s="67">
        <v>1</v>
      </c>
      <c r="AL40" s="66">
        <f t="shared" si="36"/>
        <v>200000</v>
      </c>
      <c r="AM40" s="67">
        <v>1</v>
      </c>
      <c r="AN40" s="66">
        <f t="shared" si="37"/>
        <v>200000</v>
      </c>
      <c r="AO40" s="67">
        <v>1</v>
      </c>
      <c r="AP40" s="66">
        <f t="shared" si="38"/>
        <v>200000</v>
      </c>
      <c r="AQ40" s="67">
        <v>1</v>
      </c>
      <c r="AR40" s="66">
        <f t="shared" si="39"/>
        <v>200000</v>
      </c>
      <c r="AS40" s="67">
        <v>1</v>
      </c>
      <c r="AT40" s="66">
        <f t="shared" si="40"/>
        <v>200000</v>
      </c>
      <c r="AU40" s="67">
        <v>1</v>
      </c>
      <c r="AV40" s="66">
        <f t="shared" si="41"/>
        <v>200000</v>
      </c>
      <c r="AW40" s="67">
        <v>1</v>
      </c>
      <c r="AX40" s="66">
        <f t="shared" si="42"/>
        <v>200000</v>
      </c>
      <c r="AY40" s="67">
        <v>0.2</v>
      </c>
      <c r="AZ40" s="66">
        <f t="shared" si="43"/>
        <v>40000</v>
      </c>
      <c r="BA40" s="62">
        <f t="shared" si="44"/>
        <v>16</v>
      </c>
      <c r="BB40" s="61">
        <f t="shared" si="45"/>
        <v>3200000</v>
      </c>
      <c r="BC40" s="65">
        <f t="shared" si="46"/>
        <v>0</v>
      </c>
      <c r="BD40" s="60">
        <f t="shared" si="46"/>
        <v>0</v>
      </c>
    </row>
    <row r="41" spans="1:68" s="81" customFormat="1" ht="22.8" x14ac:dyDescent="0.3">
      <c r="A41" s="84" t="s">
        <v>30</v>
      </c>
      <c r="B41" s="83" t="s">
        <v>29</v>
      </c>
      <c r="C41" s="85" t="s">
        <v>6</v>
      </c>
      <c r="D41" s="75">
        <v>7</v>
      </c>
      <c r="E41" s="82">
        <v>80000</v>
      </c>
      <c r="F41" s="78">
        <v>1</v>
      </c>
      <c r="G41" s="77">
        <v>16</v>
      </c>
      <c r="H41" s="82">
        <f t="shared" si="25"/>
        <v>8960000</v>
      </c>
      <c r="I41" s="67"/>
      <c r="J41" s="69">
        <f t="shared" si="26"/>
        <v>0</v>
      </c>
      <c r="K41" s="67"/>
      <c r="L41" s="69">
        <f t="shared" si="27"/>
        <v>0</v>
      </c>
      <c r="M41" s="67"/>
      <c r="N41" s="69">
        <f t="shared" si="28"/>
        <v>0</v>
      </c>
      <c r="O41" s="67"/>
      <c r="P41" s="69">
        <f t="shared" si="29"/>
        <v>0</v>
      </c>
      <c r="Q41" s="67">
        <v>0.8</v>
      </c>
      <c r="R41" s="69">
        <f t="shared" si="30"/>
        <v>448000</v>
      </c>
      <c r="S41" s="67">
        <v>1</v>
      </c>
      <c r="T41" s="66">
        <f t="shared" si="47"/>
        <v>560000</v>
      </c>
      <c r="U41" s="67">
        <v>1</v>
      </c>
      <c r="V41" s="66">
        <f t="shared" si="48"/>
        <v>560000</v>
      </c>
      <c r="W41" s="67">
        <v>1</v>
      </c>
      <c r="X41" s="66">
        <f t="shared" si="49"/>
        <v>560000</v>
      </c>
      <c r="Y41" s="67">
        <v>1</v>
      </c>
      <c r="Z41" s="66">
        <f t="shared" si="31"/>
        <v>560000</v>
      </c>
      <c r="AA41" s="67">
        <v>1</v>
      </c>
      <c r="AB41" s="66">
        <f t="shared" si="32"/>
        <v>560000</v>
      </c>
      <c r="AC41" s="67">
        <v>1</v>
      </c>
      <c r="AD41" s="66">
        <f t="shared" si="33"/>
        <v>560000</v>
      </c>
      <c r="AE41" s="68"/>
      <c r="AF41" s="68"/>
      <c r="AG41" s="67">
        <v>1</v>
      </c>
      <c r="AH41" s="66">
        <f t="shared" si="34"/>
        <v>560000</v>
      </c>
      <c r="AI41" s="67">
        <v>1</v>
      </c>
      <c r="AJ41" s="66">
        <f t="shared" si="35"/>
        <v>560000</v>
      </c>
      <c r="AK41" s="67">
        <v>1</v>
      </c>
      <c r="AL41" s="66">
        <f t="shared" si="36"/>
        <v>560000</v>
      </c>
      <c r="AM41" s="67">
        <v>1</v>
      </c>
      <c r="AN41" s="66">
        <f t="shared" si="37"/>
        <v>560000</v>
      </c>
      <c r="AO41" s="67">
        <v>1</v>
      </c>
      <c r="AP41" s="66">
        <f t="shared" si="38"/>
        <v>560000</v>
      </c>
      <c r="AQ41" s="67">
        <v>1</v>
      </c>
      <c r="AR41" s="66">
        <f t="shared" si="39"/>
        <v>560000</v>
      </c>
      <c r="AS41" s="67">
        <v>1</v>
      </c>
      <c r="AT41" s="66">
        <f t="shared" si="40"/>
        <v>560000</v>
      </c>
      <c r="AU41" s="67">
        <v>1</v>
      </c>
      <c r="AV41" s="66">
        <f t="shared" si="41"/>
        <v>560000</v>
      </c>
      <c r="AW41" s="67">
        <v>1</v>
      </c>
      <c r="AX41" s="66">
        <f t="shared" si="42"/>
        <v>560000</v>
      </c>
      <c r="AY41" s="67">
        <v>0.2</v>
      </c>
      <c r="AZ41" s="66">
        <f t="shared" si="43"/>
        <v>112000</v>
      </c>
      <c r="BA41" s="62">
        <f t="shared" si="44"/>
        <v>16</v>
      </c>
      <c r="BB41" s="61">
        <f t="shared" si="45"/>
        <v>8960000</v>
      </c>
      <c r="BC41" s="65">
        <f t="shared" si="46"/>
        <v>0</v>
      </c>
      <c r="BD41" s="60">
        <f t="shared" si="46"/>
        <v>0</v>
      </c>
    </row>
    <row r="42" spans="1:68" s="81" customFormat="1" ht="30" x14ac:dyDescent="0.3">
      <c r="A42" s="84" t="s">
        <v>28</v>
      </c>
      <c r="B42" s="83" t="s">
        <v>27</v>
      </c>
      <c r="C42" s="85" t="s">
        <v>6</v>
      </c>
      <c r="D42" s="75">
        <v>7</v>
      </c>
      <c r="E42" s="82">
        <v>250000</v>
      </c>
      <c r="F42" s="78">
        <v>1</v>
      </c>
      <c r="G42" s="77">
        <v>16</v>
      </c>
      <c r="H42" s="82">
        <f t="shared" si="25"/>
        <v>28000000</v>
      </c>
      <c r="I42" s="67"/>
      <c r="J42" s="69">
        <f t="shared" si="26"/>
        <v>0</v>
      </c>
      <c r="K42" s="67"/>
      <c r="L42" s="69">
        <f t="shared" si="27"/>
        <v>0</v>
      </c>
      <c r="M42" s="67"/>
      <c r="N42" s="69">
        <f t="shared" si="28"/>
        <v>0</v>
      </c>
      <c r="O42" s="67"/>
      <c r="P42" s="69">
        <f t="shared" si="29"/>
        <v>0</v>
      </c>
      <c r="Q42" s="67">
        <v>0.8</v>
      </c>
      <c r="R42" s="69">
        <f t="shared" si="30"/>
        <v>1400000</v>
      </c>
      <c r="S42" s="67">
        <v>1</v>
      </c>
      <c r="T42" s="66">
        <f t="shared" si="47"/>
        <v>1750000</v>
      </c>
      <c r="U42" s="67">
        <v>1</v>
      </c>
      <c r="V42" s="66">
        <f t="shared" si="48"/>
        <v>1750000</v>
      </c>
      <c r="W42" s="67">
        <v>1</v>
      </c>
      <c r="X42" s="66">
        <f t="shared" si="49"/>
        <v>1750000</v>
      </c>
      <c r="Y42" s="67">
        <v>1</v>
      </c>
      <c r="Z42" s="66">
        <f t="shared" si="31"/>
        <v>1750000</v>
      </c>
      <c r="AA42" s="67">
        <v>1</v>
      </c>
      <c r="AB42" s="66">
        <f t="shared" si="32"/>
        <v>1750000</v>
      </c>
      <c r="AC42" s="67">
        <v>1</v>
      </c>
      <c r="AD42" s="66">
        <f t="shared" si="33"/>
        <v>1750000</v>
      </c>
      <c r="AE42" s="68"/>
      <c r="AF42" s="68"/>
      <c r="AG42" s="67">
        <v>1</v>
      </c>
      <c r="AH42" s="66">
        <f t="shared" si="34"/>
        <v>1750000</v>
      </c>
      <c r="AI42" s="67">
        <v>1</v>
      </c>
      <c r="AJ42" s="66">
        <f t="shared" si="35"/>
        <v>1750000</v>
      </c>
      <c r="AK42" s="67">
        <v>1</v>
      </c>
      <c r="AL42" s="66">
        <f t="shared" si="36"/>
        <v>1750000</v>
      </c>
      <c r="AM42" s="67">
        <v>1</v>
      </c>
      <c r="AN42" s="66">
        <f t="shared" si="37"/>
        <v>1750000</v>
      </c>
      <c r="AO42" s="67">
        <v>1</v>
      </c>
      <c r="AP42" s="66">
        <f t="shared" si="38"/>
        <v>1750000</v>
      </c>
      <c r="AQ42" s="67">
        <v>1</v>
      </c>
      <c r="AR42" s="66">
        <f t="shared" si="39"/>
        <v>1750000</v>
      </c>
      <c r="AS42" s="67">
        <v>1</v>
      </c>
      <c r="AT42" s="66">
        <f t="shared" si="40"/>
        <v>1750000</v>
      </c>
      <c r="AU42" s="67">
        <v>1</v>
      </c>
      <c r="AV42" s="66">
        <f t="shared" si="41"/>
        <v>1750000</v>
      </c>
      <c r="AW42" s="67">
        <v>1</v>
      </c>
      <c r="AX42" s="66">
        <f t="shared" si="42"/>
        <v>1750000</v>
      </c>
      <c r="AY42" s="67">
        <v>0.2</v>
      </c>
      <c r="AZ42" s="66">
        <f t="shared" si="43"/>
        <v>350000</v>
      </c>
      <c r="BA42" s="62">
        <f t="shared" si="44"/>
        <v>16</v>
      </c>
      <c r="BB42" s="61">
        <f t="shared" si="45"/>
        <v>28000000</v>
      </c>
      <c r="BC42" s="65">
        <f t="shared" si="46"/>
        <v>0</v>
      </c>
      <c r="BD42" s="60">
        <f t="shared" si="46"/>
        <v>0</v>
      </c>
    </row>
    <row r="43" spans="1:68" s="81" customFormat="1" ht="22.8" x14ac:dyDescent="0.3">
      <c r="A43" s="84" t="s">
        <v>26</v>
      </c>
      <c r="B43" s="83" t="s">
        <v>25</v>
      </c>
      <c r="C43" s="85" t="s">
        <v>6</v>
      </c>
      <c r="D43" s="75">
        <v>1</v>
      </c>
      <c r="E43" s="82">
        <v>200000</v>
      </c>
      <c r="F43" s="78">
        <v>1</v>
      </c>
      <c r="G43" s="77">
        <v>16</v>
      </c>
      <c r="H43" s="82">
        <f t="shared" si="25"/>
        <v>3200000</v>
      </c>
      <c r="I43" s="67"/>
      <c r="J43" s="69">
        <f t="shared" si="26"/>
        <v>0</v>
      </c>
      <c r="K43" s="67"/>
      <c r="L43" s="69">
        <f t="shared" si="27"/>
        <v>0</v>
      </c>
      <c r="M43" s="67"/>
      <c r="N43" s="69">
        <f t="shared" si="28"/>
        <v>0</v>
      </c>
      <c r="O43" s="67"/>
      <c r="P43" s="69">
        <f t="shared" si="29"/>
        <v>0</v>
      </c>
      <c r="Q43" s="67">
        <v>0.8</v>
      </c>
      <c r="R43" s="69">
        <f t="shared" si="30"/>
        <v>160000</v>
      </c>
      <c r="S43" s="67">
        <v>1</v>
      </c>
      <c r="T43" s="66">
        <f t="shared" si="47"/>
        <v>200000</v>
      </c>
      <c r="U43" s="67">
        <v>1</v>
      </c>
      <c r="V43" s="66">
        <f t="shared" si="48"/>
        <v>200000</v>
      </c>
      <c r="W43" s="67">
        <v>1</v>
      </c>
      <c r="X43" s="66">
        <f t="shared" si="49"/>
        <v>200000</v>
      </c>
      <c r="Y43" s="67">
        <v>1</v>
      </c>
      <c r="Z43" s="66">
        <f t="shared" si="31"/>
        <v>200000</v>
      </c>
      <c r="AA43" s="67">
        <v>1</v>
      </c>
      <c r="AB43" s="66">
        <f t="shared" si="32"/>
        <v>200000</v>
      </c>
      <c r="AC43" s="67">
        <v>1</v>
      </c>
      <c r="AD43" s="66">
        <f t="shared" si="33"/>
        <v>200000</v>
      </c>
      <c r="AE43" s="68"/>
      <c r="AF43" s="68"/>
      <c r="AG43" s="67">
        <v>1</v>
      </c>
      <c r="AH43" s="66">
        <f t="shared" si="34"/>
        <v>200000</v>
      </c>
      <c r="AI43" s="67">
        <v>1</v>
      </c>
      <c r="AJ43" s="66">
        <f t="shared" si="35"/>
        <v>200000</v>
      </c>
      <c r="AK43" s="67">
        <v>1</v>
      </c>
      <c r="AL43" s="66">
        <f t="shared" si="36"/>
        <v>200000</v>
      </c>
      <c r="AM43" s="67">
        <v>1</v>
      </c>
      <c r="AN43" s="66">
        <f t="shared" si="37"/>
        <v>200000</v>
      </c>
      <c r="AO43" s="67">
        <v>1</v>
      </c>
      <c r="AP43" s="66">
        <f t="shared" si="38"/>
        <v>200000</v>
      </c>
      <c r="AQ43" s="67">
        <v>1</v>
      </c>
      <c r="AR43" s="66">
        <f t="shared" si="39"/>
        <v>200000</v>
      </c>
      <c r="AS43" s="67">
        <v>1</v>
      </c>
      <c r="AT43" s="66">
        <f t="shared" si="40"/>
        <v>200000</v>
      </c>
      <c r="AU43" s="67">
        <v>1</v>
      </c>
      <c r="AV43" s="66">
        <f t="shared" si="41"/>
        <v>200000</v>
      </c>
      <c r="AW43" s="67">
        <v>1</v>
      </c>
      <c r="AX43" s="66">
        <f t="shared" si="42"/>
        <v>200000</v>
      </c>
      <c r="AY43" s="67">
        <v>0.2</v>
      </c>
      <c r="AZ43" s="66">
        <f t="shared" si="43"/>
        <v>40000</v>
      </c>
      <c r="BA43" s="62">
        <f t="shared" si="44"/>
        <v>16</v>
      </c>
      <c r="BB43" s="61">
        <f t="shared" si="45"/>
        <v>3200000</v>
      </c>
      <c r="BC43" s="65">
        <f t="shared" si="46"/>
        <v>0</v>
      </c>
      <c r="BD43" s="60">
        <f t="shared" si="46"/>
        <v>0</v>
      </c>
    </row>
    <row r="44" spans="1:68" s="81" customFormat="1" ht="30" x14ac:dyDescent="0.3">
      <c r="A44" s="84" t="s">
        <v>24</v>
      </c>
      <c r="B44" s="83" t="s">
        <v>23</v>
      </c>
      <c r="C44" s="85" t="s">
        <v>6</v>
      </c>
      <c r="D44" s="75">
        <v>1</v>
      </c>
      <c r="E44" s="82">
        <v>1300000</v>
      </c>
      <c r="F44" s="78">
        <v>1</v>
      </c>
      <c r="G44" s="77">
        <v>16</v>
      </c>
      <c r="H44" s="82">
        <f t="shared" si="25"/>
        <v>20800000</v>
      </c>
      <c r="I44" s="67"/>
      <c r="J44" s="69">
        <f t="shared" si="26"/>
        <v>0</v>
      </c>
      <c r="K44" s="67"/>
      <c r="L44" s="69">
        <f t="shared" si="27"/>
        <v>0</v>
      </c>
      <c r="M44" s="67"/>
      <c r="N44" s="69">
        <f t="shared" si="28"/>
        <v>0</v>
      </c>
      <c r="O44" s="67"/>
      <c r="P44" s="69">
        <f t="shared" si="29"/>
        <v>0</v>
      </c>
      <c r="Q44" s="67">
        <v>0.8</v>
      </c>
      <c r="R44" s="69">
        <f t="shared" si="30"/>
        <v>1040000</v>
      </c>
      <c r="S44" s="67">
        <v>1</v>
      </c>
      <c r="T44" s="66">
        <f t="shared" si="47"/>
        <v>1300000</v>
      </c>
      <c r="U44" s="67">
        <v>1</v>
      </c>
      <c r="V44" s="66">
        <f t="shared" si="48"/>
        <v>1300000</v>
      </c>
      <c r="W44" s="67">
        <v>1</v>
      </c>
      <c r="X44" s="66">
        <f t="shared" si="49"/>
        <v>1300000</v>
      </c>
      <c r="Y44" s="67">
        <v>1</v>
      </c>
      <c r="Z44" s="66">
        <f t="shared" si="31"/>
        <v>1300000</v>
      </c>
      <c r="AA44" s="67">
        <v>1</v>
      </c>
      <c r="AB44" s="66">
        <f t="shared" si="32"/>
        <v>1300000</v>
      </c>
      <c r="AC44" s="67">
        <v>1</v>
      </c>
      <c r="AD44" s="66">
        <f t="shared" si="33"/>
        <v>1300000</v>
      </c>
      <c r="AE44" s="68"/>
      <c r="AF44" s="68"/>
      <c r="AG44" s="67">
        <v>1</v>
      </c>
      <c r="AH44" s="66">
        <f t="shared" si="34"/>
        <v>1300000</v>
      </c>
      <c r="AI44" s="67">
        <v>1</v>
      </c>
      <c r="AJ44" s="66">
        <f t="shared" si="35"/>
        <v>1300000</v>
      </c>
      <c r="AK44" s="67">
        <v>1</v>
      </c>
      <c r="AL44" s="66">
        <f t="shared" si="36"/>
        <v>1300000</v>
      </c>
      <c r="AM44" s="67">
        <v>1</v>
      </c>
      <c r="AN44" s="66">
        <f t="shared" si="37"/>
        <v>1300000</v>
      </c>
      <c r="AO44" s="67">
        <v>1</v>
      </c>
      <c r="AP44" s="66">
        <f t="shared" si="38"/>
        <v>1300000</v>
      </c>
      <c r="AQ44" s="67">
        <v>1</v>
      </c>
      <c r="AR44" s="66">
        <f t="shared" si="39"/>
        <v>1300000</v>
      </c>
      <c r="AS44" s="67">
        <v>1</v>
      </c>
      <c r="AT44" s="66">
        <f t="shared" si="40"/>
        <v>1300000</v>
      </c>
      <c r="AU44" s="67">
        <v>1</v>
      </c>
      <c r="AV44" s="66">
        <f t="shared" si="41"/>
        <v>1300000</v>
      </c>
      <c r="AW44" s="67">
        <v>1</v>
      </c>
      <c r="AX44" s="66">
        <f t="shared" si="42"/>
        <v>1300000</v>
      </c>
      <c r="AY44" s="67">
        <v>0.2</v>
      </c>
      <c r="AZ44" s="66">
        <f t="shared" si="43"/>
        <v>260000</v>
      </c>
      <c r="BA44" s="62">
        <f t="shared" si="44"/>
        <v>16</v>
      </c>
      <c r="BB44" s="61">
        <f t="shared" si="45"/>
        <v>20800000</v>
      </c>
      <c r="BC44" s="65">
        <f t="shared" si="46"/>
        <v>0</v>
      </c>
      <c r="BD44" s="60">
        <f t="shared" si="46"/>
        <v>0</v>
      </c>
    </row>
    <row r="45" spans="1:68" s="81" customFormat="1" ht="105" x14ac:dyDescent="0.3">
      <c r="A45" s="84" t="s">
        <v>22</v>
      </c>
      <c r="B45" s="80" t="s">
        <v>21</v>
      </c>
      <c r="C45" s="79" t="s">
        <v>20</v>
      </c>
      <c r="D45" s="75">
        <v>15</v>
      </c>
      <c r="E45" s="82">
        <v>700000</v>
      </c>
      <c r="F45" s="78">
        <v>1</v>
      </c>
      <c r="G45" s="77">
        <v>16</v>
      </c>
      <c r="H45" s="82">
        <f t="shared" si="25"/>
        <v>168000000</v>
      </c>
      <c r="I45" s="67"/>
      <c r="J45" s="69">
        <f t="shared" si="26"/>
        <v>0</v>
      </c>
      <c r="K45" s="67"/>
      <c r="L45" s="69">
        <f t="shared" si="27"/>
        <v>0</v>
      </c>
      <c r="M45" s="67"/>
      <c r="N45" s="69">
        <f t="shared" si="28"/>
        <v>0</v>
      </c>
      <c r="O45" s="67"/>
      <c r="P45" s="69">
        <f t="shared" si="29"/>
        <v>0</v>
      </c>
      <c r="Q45" s="67">
        <v>0.8</v>
      </c>
      <c r="R45" s="69">
        <f t="shared" si="30"/>
        <v>8400000</v>
      </c>
      <c r="S45" s="67">
        <v>1</v>
      </c>
      <c r="T45" s="66">
        <f t="shared" si="47"/>
        <v>10500000</v>
      </c>
      <c r="U45" s="67">
        <v>1</v>
      </c>
      <c r="V45" s="66">
        <f t="shared" si="48"/>
        <v>10500000</v>
      </c>
      <c r="W45" s="67">
        <v>1</v>
      </c>
      <c r="X45" s="66">
        <f t="shared" si="49"/>
        <v>10500000</v>
      </c>
      <c r="Y45" s="67">
        <v>1</v>
      </c>
      <c r="Z45" s="66">
        <f t="shared" si="31"/>
        <v>10500000</v>
      </c>
      <c r="AA45" s="67">
        <v>1</v>
      </c>
      <c r="AB45" s="66">
        <f t="shared" si="32"/>
        <v>10500000</v>
      </c>
      <c r="AC45" s="67">
        <v>1</v>
      </c>
      <c r="AD45" s="66">
        <f t="shared" si="33"/>
        <v>10500000</v>
      </c>
      <c r="AE45" s="68">
        <v>15</v>
      </c>
      <c r="AF45" s="66">
        <f>ROUND(E45*AE45*F45*7.5,0)</f>
        <v>78750000</v>
      </c>
      <c r="AG45" s="67">
        <v>1</v>
      </c>
      <c r="AH45" s="66">
        <f t="shared" si="34"/>
        <v>10500000</v>
      </c>
      <c r="AI45" s="67">
        <v>1</v>
      </c>
      <c r="AJ45" s="66">
        <f t="shared" si="35"/>
        <v>10500000</v>
      </c>
      <c r="AK45" s="67">
        <v>1</v>
      </c>
      <c r="AL45" s="66">
        <f t="shared" si="36"/>
        <v>10500000</v>
      </c>
      <c r="AM45" s="67">
        <v>1</v>
      </c>
      <c r="AN45" s="66">
        <f t="shared" si="37"/>
        <v>10500000</v>
      </c>
      <c r="AO45" s="67">
        <v>1</v>
      </c>
      <c r="AP45" s="66">
        <f t="shared" si="38"/>
        <v>10500000</v>
      </c>
      <c r="AQ45" s="67">
        <v>1</v>
      </c>
      <c r="AR45" s="66">
        <f t="shared" si="39"/>
        <v>10500000</v>
      </c>
      <c r="AS45" s="67">
        <v>1</v>
      </c>
      <c r="AT45" s="66">
        <f t="shared" si="40"/>
        <v>10500000</v>
      </c>
      <c r="AU45" s="67">
        <v>1</v>
      </c>
      <c r="AV45" s="66">
        <f t="shared" si="41"/>
        <v>10500000</v>
      </c>
      <c r="AW45" s="67">
        <v>1</v>
      </c>
      <c r="AX45" s="66">
        <f t="shared" si="42"/>
        <v>10500000</v>
      </c>
      <c r="AY45" s="67">
        <v>0.2</v>
      </c>
      <c r="AZ45" s="66">
        <f t="shared" si="43"/>
        <v>2100000</v>
      </c>
      <c r="BA45" s="62">
        <f t="shared" si="44"/>
        <v>31</v>
      </c>
      <c r="BB45" s="61">
        <f t="shared" si="45"/>
        <v>246750000</v>
      </c>
      <c r="BC45" s="65">
        <f t="shared" si="46"/>
        <v>-15</v>
      </c>
      <c r="BD45" s="60">
        <f t="shared" si="46"/>
        <v>-78750000</v>
      </c>
    </row>
    <row r="46" spans="1:68" s="81" customFormat="1" ht="45" x14ac:dyDescent="0.3">
      <c r="A46" s="84" t="s">
        <v>19</v>
      </c>
      <c r="B46" s="83" t="s">
        <v>18</v>
      </c>
      <c r="C46" s="75"/>
      <c r="D46" s="75"/>
      <c r="E46" s="82"/>
      <c r="F46" s="78"/>
      <c r="G46" s="77"/>
      <c r="H46" s="82"/>
      <c r="I46" s="75"/>
      <c r="J46" s="69"/>
      <c r="K46" s="75"/>
      <c r="L46" s="69"/>
      <c r="M46" s="75"/>
      <c r="N46" s="69"/>
      <c r="O46" s="75"/>
      <c r="P46" s="69"/>
      <c r="Q46" s="75"/>
      <c r="R46" s="69"/>
      <c r="S46" s="75"/>
      <c r="T46" s="66"/>
      <c r="U46" s="75"/>
      <c r="V46" s="66"/>
      <c r="W46" s="75"/>
      <c r="X46" s="66"/>
      <c r="Y46" s="75"/>
      <c r="Z46" s="66"/>
      <c r="AA46" s="75"/>
      <c r="AB46" s="66"/>
      <c r="AC46" s="75"/>
      <c r="AD46" s="66"/>
      <c r="AE46" s="66"/>
      <c r="AF46" s="66"/>
      <c r="AG46" s="75"/>
      <c r="AH46" s="66"/>
      <c r="AI46" s="75"/>
      <c r="AJ46" s="66"/>
      <c r="AK46" s="75"/>
      <c r="AL46" s="66"/>
      <c r="AM46" s="75"/>
      <c r="AN46" s="66"/>
      <c r="AO46" s="75"/>
      <c r="AP46" s="66"/>
      <c r="AQ46" s="75"/>
      <c r="AR46" s="66"/>
      <c r="AS46" s="75"/>
      <c r="AT46" s="66"/>
      <c r="AU46" s="75"/>
      <c r="AV46" s="66"/>
      <c r="AW46" s="75"/>
      <c r="AX46" s="66">
        <f t="shared" si="42"/>
        <v>0</v>
      </c>
      <c r="AY46" s="75"/>
      <c r="AZ46" s="66"/>
      <c r="BA46" s="62"/>
      <c r="BB46" s="61"/>
      <c r="BC46" s="65"/>
      <c r="BD46" s="60"/>
    </row>
    <row r="47" spans="1:68" s="81" customFormat="1" ht="22.8" x14ac:dyDescent="0.3">
      <c r="A47" s="84"/>
      <c r="B47" s="83" t="s">
        <v>17</v>
      </c>
      <c r="C47" s="75" t="s">
        <v>6</v>
      </c>
      <c r="D47" s="75">
        <v>22</v>
      </c>
      <c r="E47" s="82">
        <v>55000</v>
      </c>
      <c r="F47" s="78">
        <v>1</v>
      </c>
      <c r="G47" s="77">
        <v>1</v>
      </c>
      <c r="H47" s="82">
        <f t="shared" ref="H47:H54" si="50">D47*E47*F47*G47</f>
        <v>1210000</v>
      </c>
      <c r="I47" s="67"/>
      <c r="J47" s="69">
        <f t="shared" ref="J47:J57" si="51">ROUND(I47*E47,0)</f>
        <v>0</v>
      </c>
      <c r="K47" s="67"/>
      <c r="L47" s="69">
        <f t="shared" ref="L47:L57" si="52">ROUND(E47*K47,0)</f>
        <v>0</v>
      </c>
      <c r="M47" s="67"/>
      <c r="N47" s="69">
        <f t="shared" ref="N47:N57" si="53">ROUND(E47*M47,0)</f>
        <v>0</v>
      </c>
      <c r="O47" s="67"/>
      <c r="P47" s="69">
        <f t="shared" ref="P47:P57" si="54">ROUND(E47*O47,0)</f>
        <v>0</v>
      </c>
      <c r="Q47" s="67"/>
      <c r="R47" s="69">
        <f t="shared" ref="R47:R54" si="55">ROUND(Q47*E47*D47,0)</f>
        <v>0</v>
      </c>
      <c r="S47" s="67"/>
      <c r="T47" s="66">
        <f t="shared" ref="T47:T54" si="56">ROUND(E47*S47*D47,0)</f>
        <v>0</v>
      </c>
      <c r="U47" s="67">
        <v>2</v>
      </c>
      <c r="V47" s="66">
        <f t="shared" ref="V47:V54" si="57">ROUND(E47*U47*G47,0)</f>
        <v>110000</v>
      </c>
      <c r="W47" s="67"/>
      <c r="X47" s="66">
        <f t="shared" ref="X47:X55" si="58">ROUND(E47*W47*F47,0)</f>
        <v>0</v>
      </c>
      <c r="Y47" s="67">
        <v>2</v>
      </c>
      <c r="Z47" s="66">
        <f t="shared" ref="Z47:Z54" si="59">ROUND(E47*Y47*F47,0)</f>
        <v>110000</v>
      </c>
      <c r="AA47" s="67">
        <v>2</v>
      </c>
      <c r="AB47" s="66">
        <f t="shared" ref="AB47:AB54" si="60">ROUND(E47*AA47*F47,0)</f>
        <v>110000</v>
      </c>
      <c r="AC47" s="67">
        <v>2</v>
      </c>
      <c r="AD47" s="66">
        <f t="shared" ref="AD47:AD54" si="61">ROUND(E47*AC47*F47,0)</f>
        <v>110000</v>
      </c>
      <c r="AE47" s="68"/>
      <c r="AF47" s="68"/>
      <c r="AG47" s="67">
        <v>2</v>
      </c>
      <c r="AH47" s="66">
        <f t="shared" ref="AH47:AH54" si="62">ROUND(E47*AG47*F47,0)</f>
        <v>110000</v>
      </c>
      <c r="AI47" s="67">
        <v>2</v>
      </c>
      <c r="AJ47" s="66">
        <f t="shared" ref="AJ47:AJ54" si="63">ROUND(E47*AI47*F47,0)</f>
        <v>110000</v>
      </c>
      <c r="AK47" s="67">
        <v>2</v>
      </c>
      <c r="AL47" s="66">
        <f t="shared" ref="AL47:AL54" si="64">ROUND(E47*AK47*F47,0)</f>
        <v>110000</v>
      </c>
      <c r="AM47" s="67">
        <v>2</v>
      </c>
      <c r="AN47" s="66">
        <f t="shared" ref="AN47:AN54" si="65">ROUND(E47*AM47*F47,0)</f>
        <v>110000</v>
      </c>
      <c r="AO47" s="67">
        <v>2</v>
      </c>
      <c r="AP47" s="66">
        <f t="shared" ref="AP47:AP54" si="66">ROUND(E47*AO47*F47,0)</f>
        <v>110000</v>
      </c>
      <c r="AQ47" s="67">
        <v>2</v>
      </c>
      <c r="AR47" s="66">
        <f t="shared" ref="AR47:AR54" si="67">ROUND(E47*AQ47*F47,0)</f>
        <v>110000</v>
      </c>
      <c r="AS47" s="67">
        <v>1</v>
      </c>
      <c r="AT47" s="66">
        <f t="shared" ref="AT47:AT54" si="68">ROUND(E47*AS47*F47,0)</f>
        <v>55000</v>
      </c>
      <c r="AU47" s="67">
        <v>1</v>
      </c>
      <c r="AV47" s="66">
        <f t="shared" ref="AV47:AV54" si="69">ROUND(E47*AU47*F47,0)</f>
        <v>55000</v>
      </c>
      <c r="AW47" s="67"/>
      <c r="AX47" s="66">
        <f t="shared" ref="AX47:AX55" si="70">ROUND(E47*AW47*F47,0)</f>
        <v>0</v>
      </c>
      <c r="AY47" s="67"/>
      <c r="AZ47" s="66">
        <f t="shared" ref="AZ47:AZ54" si="71">ROUND(E47*AY47*D47,0)</f>
        <v>0</v>
      </c>
      <c r="BA47" s="62">
        <f t="shared" ref="BA47:BA57" si="72">SUM(I47+K47+M47+O47+Q47+S47+U47+W47+Y47+AA47+AC47+AG47+AI47+AK47+AM47+AO47+AQ47+AS47+AU47+AW47+AY47)+AE47</f>
        <v>22</v>
      </c>
      <c r="BB47" s="61">
        <f t="shared" ref="BB47:BB58" si="73">+J47+L47+N47+P47+R47+T47+V47+X47+Z47+AB47+AD47+AH47+AJ47+AL47+AN47+AP47+AR47+AT47+AV47+AX47+AZ47+AF47</f>
        <v>1210000</v>
      </c>
      <c r="BC47" s="65">
        <f t="shared" ref="BC47:BC54" si="74">D47-BA47</f>
        <v>0</v>
      </c>
      <c r="BD47" s="60">
        <f t="shared" ref="BD47:BD54" si="75">H47-BB47</f>
        <v>0</v>
      </c>
    </row>
    <row r="48" spans="1:68" s="81" customFormat="1" ht="30" x14ac:dyDescent="0.3">
      <c r="A48" s="84"/>
      <c r="B48" s="83" t="s">
        <v>16</v>
      </c>
      <c r="C48" s="75" t="s">
        <v>6</v>
      </c>
      <c r="D48" s="75">
        <v>22</v>
      </c>
      <c r="E48" s="82">
        <v>110800</v>
      </c>
      <c r="F48" s="78">
        <v>1</v>
      </c>
      <c r="G48" s="77">
        <v>1</v>
      </c>
      <c r="H48" s="82">
        <f t="shared" si="50"/>
        <v>2437600</v>
      </c>
      <c r="I48" s="67"/>
      <c r="J48" s="69">
        <f t="shared" si="51"/>
        <v>0</v>
      </c>
      <c r="K48" s="67"/>
      <c r="L48" s="69">
        <f t="shared" si="52"/>
        <v>0</v>
      </c>
      <c r="M48" s="67"/>
      <c r="N48" s="69">
        <f t="shared" si="53"/>
        <v>0</v>
      </c>
      <c r="O48" s="67"/>
      <c r="P48" s="69">
        <f t="shared" si="54"/>
        <v>0</v>
      </c>
      <c r="Q48" s="67"/>
      <c r="R48" s="69">
        <f t="shared" si="55"/>
        <v>0</v>
      </c>
      <c r="S48" s="67"/>
      <c r="T48" s="66">
        <f t="shared" si="56"/>
        <v>0</v>
      </c>
      <c r="U48" s="67">
        <v>2</v>
      </c>
      <c r="V48" s="66">
        <f t="shared" si="57"/>
        <v>221600</v>
      </c>
      <c r="W48" s="67">
        <v>2</v>
      </c>
      <c r="X48" s="66">
        <f t="shared" si="58"/>
        <v>221600</v>
      </c>
      <c r="Y48" s="67">
        <v>2</v>
      </c>
      <c r="Z48" s="66">
        <f t="shared" si="59"/>
        <v>221600</v>
      </c>
      <c r="AA48" s="67">
        <v>2</v>
      </c>
      <c r="AB48" s="66">
        <f t="shared" si="60"/>
        <v>221600</v>
      </c>
      <c r="AC48" s="67">
        <v>2</v>
      </c>
      <c r="AD48" s="66">
        <f t="shared" si="61"/>
        <v>221600</v>
      </c>
      <c r="AE48" s="68"/>
      <c r="AF48" s="68"/>
      <c r="AG48" s="67">
        <v>2</v>
      </c>
      <c r="AH48" s="66">
        <f t="shared" si="62"/>
        <v>221600</v>
      </c>
      <c r="AI48" s="67">
        <v>2</v>
      </c>
      <c r="AJ48" s="66">
        <f t="shared" si="63"/>
        <v>221600</v>
      </c>
      <c r="AK48" s="67">
        <v>2</v>
      </c>
      <c r="AL48" s="66">
        <f t="shared" si="64"/>
        <v>221600</v>
      </c>
      <c r="AM48" s="67">
        <v>2</v>
      </c>
      <c r="AN48" s="66">
        <f t="shared" si="65"/>
        <v>221600</v>
      </c>
      <c r="AO48" s="67">
        <v>2</v>
      </c>
      <c r="AP48" s="66">
        <f t="shared" si="66"/>
        <v>221600</v>
      </c>
      <c r="AQ48" s="67">
        <v>1</v>
      </c>
      <c r="AR48" s="66">
        <f t="shared" si="67"/>
        <v>110800</v>
      </c>
      <c r="AS48" s="67">
        <v>1</v>
      </c>
      <c r="AT48" s="66">
        <f t="shared" si="68"/>
        <v>110800</v>
      </c>
      <c r="AU48" s="67"/>
      <c r="AV48" s="66">
        <f t="shared" si="69"/>
        <v>0</v>
      </c>
      <c r="AW48" s="67"/>
      <c r="AX48" s="66">
        <f t="shared" si="70"/>
        <v>0</v>
      </c>
      <c r="AY48" s="67"/>
      <c r="AZ48" s="66">
        <f t="shared" si="71"/>
        <v>0</v>
      </c>
      <c r="BA48" s="62">
        <f t="shared" si="72"/>
        <v>22</v>
      </c>
      <c r="BB48" s="61">
        <f t="shared" si="73"/>
        <v>2437600</v>
      </c>
      <c r="BC48" s="65">
        <f t="shared" si="74"/>
        <v>0</v>
      </c>
      <c r="BD48" s="60">
        <f t="shared" si="75"/>
        <v>0</v>
      </c>
    </row>
    <row r="49" spans="1:58" s="81" customFormat="1" ht="22.8" x14ac:dyDescent="0.3">
      <c r="A49" s="84"/>
      <c r="B49" s="83" t="s">
        <v>15</v>
      </c>
      <c r="C49" s="75" t="s">
        <v>6</v>
      </c>
      <c r="D49" s="75">
        <v>22</v>
      </c>
      <c r="E49" s="82">
        <v>46000</v>
      </c>
      <c r="F49" s="78">
        <v>1</v>
      </c>
      <c r="G49" s="77">
        <v>1</v>
      </c>
      <c r="H49" s="82">
        <f t="shared" si="50"/>
        <v>1012000</v>
      </c>
      <c r="I49" s="67"/>
      <c r="J49" s="69">
        <f t="shared" si="51"/>
        <v>0</v>
      </c>
      <c r="K49" s="67"/>
      <c r="L49" s="69">
        <f t="shared" si="52"/>
        <v>0</v>
      </c>
      <c r="M49" s="67"/>
      <c r="N49" s="69">
        <f t="shared" si="53"/>
        <v>0</v>
      </c>
      <c r="O49" s="67"/>
      <c r="P49" s="69">
        <f t="shared" si="54"/>
        <v>0</v>
      </c>
      <c r="Q49" s="67"/>
      <c r="R49" s="69">
        <f t="shared" si="55"/>
        <v>0</v>
      </c>
      <c r="S49" s="67"/>
      <c r="T49" s="66">
        <f t="shared" si="56"/>
        <v>0</v>
      </c>
      <c r="U49" s="67">
        <v>2</v>
      </c>
      <c r="V49" s="66">
        <f t="shared" si="57"/>
        <v>92000</v>
      </c>
      <c r="W49" s="67"/>
      <c r="X49" s="66">
        <f t="shared" si="58"/>
        <v>0</v>
      </c>
      <c r="Y49" s="67">
        <v>2</v>
      </c>
      <c r="Z49" s="66">
        <f t="shared" si="59"/>
        <v>92000</v>
      </c>
      <c r="AA49" s="67">
        <v>2</v>
      </c>
      <c r="AB49" s="66">
        <f t="shared" si="60"/>
        <v>92000</v>
      </c>
      <c r="AC49" s="67">
        <v>2</v>
      </c>
      <c r="AD49" s="66">
        <f t="shared" si="61"/>
        <v>92000</v>
      </c>
      <c r="AE49" s="68"/>
      <c r="AF49" s="68"/>
      <c r="AG49" s="67">
        <v>2</v>
      </c>
      <c r="AH49" s="66">
        <f t="shared" si="62"/>
        <v>92000</v>
      </c>
      <c r="AI49" s="67">
        <v>2</v>
      </c>
      <c r="AJ49" s="66">
        <f t="shared" si="63"/>
        <v>92000</v>
      </c>
      <c r="AK49" s="67">
        <v>2</v>
      </c>
      <c r="AL49" s="66">
        <f t="shared" si="64"/>
        <v>92000</v>
      </c>
      <c r="AM49" s="67">
        <v>2</v>
      </c>
      <c r="AN49" s="66">
        <f t="shared" si="65"/>
        <v>92000</v>
      </c>
      <c r="AO49" s="67">
        <v>2</v>
      </c>
      <c r="AP49" s="66">
        <f t="shared" si="66"/>
        <v>92000</v>
      </c>
      <c r="AQ49" s="67">
        <v>2</v>
      </c>
      <c r="AR49" s="66">
        <f t="shared" si="67"/>
        <v>92000</v>
      </c>
      <c r="AS49" s="67">
        <v>1</v>
      </c>
      <c r="AT49" s="66">
        <f t="shared" si="68"/>
        <v>46000</v>
      </c>
      <c r="AU49" s="67">
        <v>1</v>
      </c>
      <c r="AV49" s="66">
        <f t="shared" si="69"/>
        <v>46000</v>
      </c>
      <c r="AW49" s="67"/>
      <c r="AX49" s="66">
        <f t="shared" si="70"/>
        <v>0</v>
      </c>
      <c r="AY49" s="67"/>
      <c r="AZ49" s="66">
        <f t="shared" si="71"/>
        <v>0</v>
      </c>
      <c r="BA49" s="62">
        <f t="shared" si="72"/>
        <v>22</v>
      </c>
      <c r="BB49" s="61">
        <f t="shared" si="73"/>
        <v>1012000</v>
      </c>
      <c r="BC49" s="65">
        <f t="shared" si="74"/>
        <v>0</v>
      </c>
      <c r="BD49" s="60">
        <f t="shared" si="75"/>
        <v>0</v>
      </c>
    </row>
    <row r="50" spans="1:58" s="81" customFormat="1" ht="22.8" x14ac:dyDescent="0.3">
      <c r="A50" s="84"/>
      <c r="B50" s="83" t="s">
        <v>14</v>
      </c>
      <c r="C50" s="75" t="s">
        <v>6</v>
      </c>
      <c r="D50" s="75">
        <v>22</v>
      </c>
      <c r="E50" s="82">
        <v>102350</v>
      </c>
      <c r="F50" s="78">
        <v>1</v>
      </c>
      <c r="G50" s="77">
        <v>1</v>
      </c>
      <c r="H50" s="82">
        <f t="shared" si="50"/>
        <v>2251700</v>
      </c>
      <c r="I50" s="67"/>
      <c r="J50" s="69">
        <f t="shared" si="51"/>
        <v>0</v>
      </c>
      <c r="K50" s="67"/>
      <c r="L50" s="69">
        <f t="shared" si="52"/>
        <v>0</v>
      </c>
      <c r="M50" s="67"/>
      <c r="N50" s="69">
        <f t="shared" si="53"/>
        <v>0</v>
      </c>
      <c r="O50" s="67"/>
      <c r="P50" s="69">
        <f t="shared" si="54"/>
        <v>0</v>
      </c>
      <c r="Q50" s="67"/>
      <c r="R50" s="69">
        <f t="shared" si="55"/>
        <v>0</v>
      </c>
      <c r="S50" s="67"/>
      <c r="T50" s="66">
        <f t="shared" si="56"/>
        <v>0</v>
      </c>
      <c r="U50" s="67">
        <v>2</v>
      </c>
      <c r="V50" s="66">
        <f t="shared" si="57"/>
        <v>204700</v>
      </c>
      <c r="W50" s="67"/>
      <c r="X50" s="66">
        <f t="shared" si="58"/>
        <v>0</v>
      </c>
      <c r="Y50" s="67">
        <v>2</v>
      </c>
      <c r="Z50" s="66">
        <f t="shared" si="59"/>
        <v>204700</v>
      </c>
      <c r="AA50" s="67">
        <v>2</v>
      </c>
      <c r="AB50" s="66">
        <f t="shared" si="60"/>
        <v>204700</v>
      </c>
      <c r="AC50" s="67">
        <v>2</v>
      </c>
      <c r="AD50" s="66">
        <f t="shared" si="61"/>
        <v>204700</v>
      </c>
      <c r="AE50" s="68"/>
      <c r="AF50" s="68"/>
      <c r="AG50" s="67">
        <v>2</v>
      </c>
      <c r="AH50" s="66">
        <f t="shared" si="62"/>
        <v>204700</v>
      </c>
      <c r="AI50" s="67">
        <v>2</v>
      </c>
      <c r="AJ50" s="66">
        <f t="shared" si="63"/>
        <v>204700</v>
      </c>
      <c r="AK50" s="67">
        <v>2</v>
      </c>
      <c r="AL50" s="66">
        <f t="shared" si="64"/>
        <v>204700</v>
      </c>
      <c r="AM50" s="67">
        <v>2</v>
      </c>
      <c r="AN50" s="66">
        <f t="shared" si="65"/>
        <v>204700</v>
      </c>
      <c r="AO50" s="67">
        <v>2</v>
      </c>
      <c r="AP50" s="66">
        <f t="shared" si="66"/>
        <v>204700</v>
      </c>
      <c r="AQ50" s="67">
        <v>2</v>
      </c>
      <c r="AR50" s="66">
        <f t="shared" si="67"/>
        <v>204700</v>
      </c>
      <c r="AS50" s="67">
        <v>1</v>
      </c>
      <c r="AT50" s="66">
        <f t="shared" si="68"/>
        <v>102350</v>
      </c>
      <c r="AU50" s="67">
        <v>1</v>
      </c>
      <c r="AV50" s="66">
        <f t="shared" si="69"/>
        <v>102350</v>
      </c>
      <c r="AW50" s="67"/>
      <c r="AX50" s="66">
        <f t="shared" si="70"/>
        <v>0</v>
      </c>
      <c r="AY50" s="67"/>
      <c r="AZ50" s="66">
        <f t="shared" si="71"/>
        <v>0</v>
      </c>
      <c r="BA50" s="62">
        <f t="shared" si="72"/>
        <v>22</v>
      </c>
      <c r="BB50" s="61">
        <f t="shared" si="73"/>
        <v>2251700</v>
      </c>
      <c r="BC50" s="65">
        <f t="shared" si="74"/>
        <v>0</v>
      </c>
      <c r="BD50" s="60">
        <f t="shared" si="75"/>
        <v>0</v>
      </c>
    </row>
    <row r="51" spans="1:58" s="81" customFormat="1" ht="30" x14ac:dyDescent="0.3">
      <c r="A51" s="84"/>
      <c r="B51" s="83" t="s">
        <v>13</v>
      </c>
      <c r="C51" s="75" t="s">
        <v>6</v>
      </c>
      <c r="D51" s="75">
        <v>22</v>
      </c>
      <c r="E51" s="82">
        <v>319500</v>
      </c>
      <c r="F51" s="78">
        <v>1</v>
      </c>
      <c r="G51" s="77">
        <v>1</v>
      </c>
      <c r="H51" s="82">
        <f t="shared" si="50"/>
        <v>7029000</v>
      </c>
      <c r="I51" s="67"/>
      <c r="J51" s="69">
        <f t="shared" si="51"/>
        <v>0</v>
      </c>
      <c r="K51" s="67"/>
      <c r="L51" s="69">
        <f t="shared" si="52"/>
        <v>0</v>
      </c>
      <c r="M51" s="67"/>
      <c r="N51" s="69">
        <f t="shared" si="53"/>
        <v>0</v>
      </c>
      <c r="O51" s="67"/>
      <c r="P51" s="69">
        <f t="shared" si="54"/>
        <v>0</v>
      </c>
      <c r="Q51" s="67"/>
      <c r="R51" s="69">
        <f t="shared" si="55"/>
        <v>0</v>
      </c>
      <c r="S51" s="67"/>
      <c r="T51" s="66">
        <f t="shared" si="56"/>
        <v>0</v>
      </c>
      <c r="U51" s="67">
        <v>2</v>
      </c>
      <c r="V51" s="66">
        <f t="shared" si="57"/>
        <v>639000</v>
      </c>
      <c r="W51" s="67"/>
      <c r="X51" s="66">
        <f t="shared" si="58"/>
        <v>0</v>
      </c>
      <c r="Y51" s="67">
        <v>2</v>
      </c>
      <c r="Z51" s="66">
        <f t="shared" si="59"/>
        <v>639000</v>
      </c>
      <c r="AA51" s="67">
        <v>2</v>
      </c>
      <c r="AB51" s="66">
        <f t="shared" si="60"/>
        <v>639000</v>
      </c>
      <c r="AC51" s="67">
        <v>2</v>
      </c>
      <c r="AD51" s="66">
        <f t="shared" si="61"/>
        <v>639000</v>
      </c>
      <c r="AE51" s="68"/>
      <c r="AF51" s="68"/>
      <c r="AG51" s="67">
        <v>2</v>
      </c>
      <c r="AH51" s="66">
        <f t="shared" si="62"/>
        <v>639000</v>
      </c>
      <c r="AI51" s="67">
        <v>2</v>
      </c>
      <c r="AJ51" s="66">
        <f t="shared" si="63"/>
        <v>639000</v>
      </c>
      <c r="AK51" s="67">
        <v>2</v>
      </c>
      <c r="AL51" s="66">
        <f t="shared" si="64"/>
        <v>639000</v>
      </c>
      <c r="AM51" s="67">
        <v>2</v>
      </c>
      <c r="AN51" s="66">
        <f t="shared" si="65"/>
        <v>639000</v>
      </c>
      <c r="AO51" s="67">
        <v>2</v>
      </c>
      <c r="AP51" s="66">
        <f t="shared" si="66"/>
        <v>639000</v>
      </c>
      <c r="AQ51" s="67">
        <v>2</v>
      </c>
      <c r="AR51" s="66">
        <f t="shared" si="67"/>
        <v>639000</v>
      </c>
      <c r="AS51" s="67">
        <v>1</v>
      </c>
      <c r="AT51" s="66">
        <f t="shared" si="68"/>
        <v>319500</v>
      </c>
      <c r="AU51" s="67">
        <v>1</v>
      </c>
      <c r="AV51" s="66">
        <f t="shared" si="69"/>
        <v>319500</v>
      </c>
      <c r="AW51" s="67"/>
      <c r="AX51" s="66">
        <f t="shared" si="70"/>
        <v>0</v>
      </c>
      <c r="AY51" s="67"/>
      <c r="AZ51" s="66">
        <f t="shared" si="71"/>
        <v>0</v>
      </c>
      <c r="BA51" s="62">
        <f t="shared" si="72"/>
        <v>22</v>
      </c>
      <c r="BB51" s="61">
        <f t="shared" si="73"/>
        <v>7029000</v>
      </c>
      <c r="BC51" s="65">
        <f t="shared" si="74"/>
        <v>0</v>
      </c>
      <c r="BD51" s="60">
        <f t="shared" si="75"/>
        <v>0</v>
      </c>
    </row>
    <row r="52" spans="1:58" s="11" customFormat="1" ht="30" x14ac:dyDescent="0.3">
      <c r="A52" s="59"/>
      <c r="B52" s="80" t="s">
        <v>12</v>
      </c>
      <c r="C52" s="75" t="s">
        <v>6</v>
      </c>
      <c r="D52" s="79">
        <v>2</v>
      </c>
      <c r="E52" s="70">
        <v>7650</v>
      </c>
      <c r="F52" s="78">
        <v>1</v>
      </c>
      <c r="G52" s="77">
        <v>1</v>
      </c>
      <c r="H52" s="70">
        <f t="shared" si="50"/>
        <v>15300</v>
      </c>
      <c r="I52" s="67"/>
      <c r="J52" s="69">
        <f t="shared" si="51"/>
        <v>0</v>
      </c>
      <c r="K52" s="67"/>
      <c r="L52" s="69">
        <f t="shared" si="52"/>
        <v>0</v>
      </c>
      <c r="M52" s="67"/>
      <c r="N52" s="69">
        <f t="shared" si="53"/>
        <v>0</v>
      </c>
      <c r="O52" s="67"/>
      <c r="P52" s="69">
        <f t="shared" si="54"/>
        <v>0</v>
      </c>
      <c r="Q52" s="67"/>
      <c r="R52" s="69">
        <f t="shared" si="55"/>
        <v>0</v>
      </c>
      <c r="S52" s="67"/>
      <c r="T52" s="66">
        <f t="shared" si="56"/>
        <v>0</v>
      </c>
      <c r="U52" s="67"/>
      <c r="V52" s="66">
        <f t="shared" si="57"/>
        <v>0</v>
      </c>
      <c r="W52" s="67"/>
      <c r="X52" s="66">
        <f t="shared" si="58"/>
        <v>0</v>
      </c>
      <c r="Y52" s="67"/>
      <c r="Z52" s="66">
        <f t="shared" si="59"/>
        <v>0</v>
      </c>
      <c r="AA52" s="67"/>
      <c r="AB52" s="66">
        <f t="shared" si="60"/>
        <v>0</v>
      </c>
      <c r="AC52" s="67"/>
      <c r="AD52" s="66">
        <f t="shared" si="61"/>
        <v>0</v>
      </c>
      <c r="AE52" s="68">
        <v>50</v>
      </c>
      <c r="AF52" s="66">
        <f t="shared" ref="AF52:AF57" si="76">ROUND(E52*AE52*F52*7.5,0)</f>
        <v>2868750</v>
      </c>
      <c r="AG52" s="67">
        <v>1</v>
      </c>
      <c r="AH52" s="66">
        <f t="shared" si="62"/>
        <v>7650</v>
      </c>
      <c r="AI52" s="67"/>
      <c r="AJ52" s="66">
        <f t="shared" si="63"/>
        <v>0</v>
      </c>
      <c r="AK52" s="67"/>
      <c r="AL52" s="66">
        <f t="shared" si="64"/>
        <v>0</v>
      </c>
      <c r="AM52" s="67"/>
      <c r="AN52" s="66">
        <f t="shared" si="65"/>
        <v>0</v>
      </c>
      <c r="AO52" s="67">
        <v>1</v>
      </c>
      <c r="AP52" s="66">
        <f t="shared" si="66"/>
        <v>7650</v>
      </c>
      <c r="AQ52" s="67"/>
      <c r="AR52" s="66">
        <f t="shared" si="67"/>
        <v>0</v>
      </c>
      <c r="AS52" s="67"/>
      <c r="AT52" s="66">
        <f t="shared" si="68"/>
        <v>0</v>
      </c>
      <c r="AU52" s="67"/>
      <c r="AV52" s="66">
        <f t="shared" si="69"/>
        <v>0</v>
      </c>
      <c r="AW52" s="67"/>
      <c r="AX52" s="66">
        <f t="shared" si="70"/>
        <v>0</v>
      </c>
      <c r="AY52" s="67"/>
      <c r="AZ52" s="66">
        <f t="shared" si="71"/>
        <v>0</v>
      </c>
      <c r="BA52" s="62">
        <f t="shared" si="72"/>
        <v>52</v>
      </c>
      <c r="BB52" s="61">
        <f t="shared" si="73"/>
        <v>2884050</v>
      </c>
      <c r="BC52" s="65">
        <f t="shared" si="74"/>
        <v>-50</v>
      </c>
      <c r="BD52" s="60">
        <f t="shared" si="75"/>
        <v>-2868750</v>
      </c>
    </row>
    <row r="53" spans="1:58" s="11" customFormat="1" ht="22.8" x14ac:dyDescent="0.3">
      <c r="A53" s="59"/>
      <c r="B53" s="80" t="s">
        <v>11</v>
      </c>
      <c r="C53" s="75" t="s">
        <v>6</v>
      </c>
      <c r="D53" s="79">
        <v>90</v>
      </c>
      <c r="E53" s="70">
        <v>93800</v>
      </c>
      <c r="F53" s="78">
        <v>1</v>
      </c>
      <c r="G53" s="77">
        <v>1</v>
      </c>
      <c r="H53" s="70">
        <f t="shared" si="50"/>
        <v>8442000</v>
      </c>
      <c r="I53" s="67"/>
      <c r="J53" s="69">
        <f t="shared" si="51"/>
        <v>0</v>
      </c>
      <c r="K53" s="67"/>
      <c r="L53" s="69">
        <f t="shared" si="52"/>
        <v>0</v>
      </c>
      <c r="M53" s="67"/>
      <c r="N53" s="69">
        <f t="shared" si="53"/>
        <v>0</v>
      </c>
      <c r="O53" s="67"/>
      <c r="P53" s="69">
        <f t="shared" si="54"/>
        <v>0</v>
      </c>
      <c r="Q53" s="67"/>
      <c r="R53" s="69">
        <f t="shared" si="55"/>
        <v>0</v>
      </c>
      <c r="S53" s="67"/>
      <c r="T53" s="66">
        <f t="shared" si="56"/>
        <v>0</v>
      </c>
      <c r="U53" s="67"/>
      <c r="V53" s="66">
        <f t="shared" si="57"/>
        <v>0</v>
      </c>
      <c r="W53" s="67"/>
      <c r="X53" s="66">
        <f t="shared" si="58"/>
        <v>0</v>
      </c>
      <c r="Y53" s="67"/>
      <c r="Z53" s="66">
        <f t="shared" si="59"/>
        <v>0</v>
      </c>
      <c r="AA53" s="67">
        <v>10</v>
      </c>
      <c r="AB53" s="66">
        <f t="shared" si="60"/>
        <v>938000</v>
      </c>
      <c r="AC53" s="67">
        <v>10</v>
      </c>
      <c r="AD53" s="66">
        <f t="shared" si="61"/>
        <v>938000</v>
      </c>
      <c r="AE53" s="68">
        <v>25</v>
      </c>
      <c r="AF53" s="66">
        <f t="shared" si="76"/>
        <v>17587500</v>
      </c>
      <c r="AG53" s="67">
        <v>10</v>
      </c>
      <c r="AH53" s="66">
        <f t="shared" si="62"/>
        <v>938000</v>
      </c>
      <c r="AI53" s="67">
        <v>10</v>
      </c>
      <c r="AJ53" s="66">
        <f t="shared" si="63"/>
        <v>938000</v>
      </c>
      <c r="AK53" s="67">
        <v>10</v>
      </c>
      <c r="AL53" s="66">
        <f t="shared" si="64"/>
        <v>938000</v>
      </c>
      <c r="AM53" s="67">
        <v>10</v>
      </c>
      <c r="AN53" s="66">
        <f t="shared" si="65"/>
        <v>938000</v>
      </c>
      <c r="AO53" s="67">
        <v>10</v>
      </c>
      <c r="AP53" s="66">
        <f t="shared" si="66"/>
        <v>938000</v>
      </c>
      <c r="AQ53" s="67">
        <v>10</v>
      </c>
      <c r="AR53" s="66">
        <f t="shared" si="67"/>
        <v>938000</v>
      </c>
      <c r="AS53" s="67">
        <v>10</v>
      </c>
      <c r="AT53" s="66">
        <f t="shared" si="68"/>
        <v>938000</v>
      </c>
      <c r="AU53" s="67"/>
      <c r="AV53" s="66">
        <f t="shared" si="69"/>
        <v>0</v>
      </c>
      <c r="AW53" s="67"/>
      <c r="AX53" s="66">
        <f t="shared" si="70"/>
        <v>0</v>
      </c>
      <c r="AY53" s="67"/>
      <c r="AZ53" s="66">
        <f t="shared" si="71"/>
        <v>0</v>
      </c>
      <c r="BA53" s="62">
        <f t="shared" si="72"/>
        <v>115</v>
      </c>
      <c r="BB53" s="61">
        <f t="shared" si="73"/>
        <v>26029500</v>
      </c>
      <c r="BC53" s="65">
        <f t="shared" si="74"/>
        <v>-25</v>
      </c>
      <c r="BD53" s="60">
        <f t="shared" si="75"/>
        <v>-17587500</v>
      </c>
    </row>
    <row r="54" spans="1:58" s="11" customFormat="1" ht="22.8" x14ac:dyDescent="0.3">
      <c r="A54" s="59"/>
      <c r="B54" s="80" t="s">
        <v>10</v>
      </c>
      <c r="C54" s="75" t="s">
        <v>6</v>
      </c>
      <c r="D54" s="79">
        <v>22</v>
      </c>
      <c r="E54" s="70">
        <v>60350</v>
      </c>
      <c r="F54" s="78">
        <v>1</v>
      </c>
      <c r="G54" s="77">
        <v>1</v>
      </c>
      <c r="H54" s="70">
        <f t="shared" si="50"/>
        <v>1327700</v>
      </c>
      <c r="I54" s="67"/>
      <c r="J54" s="69">
        <f t="shared" si="51"/>
        <v>0</v>
      </c>
      <c r="K54" s="67"/>
      <c r="L54" s="69">
        <f t="shared" si="52"/>
        <v>0</v>
      </c>
      <c r="M54" s="67"/>
      <c r="N54" s="69">
        <f t="shared" si="53"/>
        <v>0</v>
      </c>
      <c r="O54" s="67"/>
      <c r="P54" s="69">
        <f t="shared" si="54"/>
        <v>0</v>
      </c>
      <c r="Q54" s="67"/>
      <c r="R54" s="69">
        <f t="shared" si="55"/>
        <v>0</v>
      </c>
      <c r="S54" s="67"/>
      <c r="T54" s="66">
        <f t="shared" si="56"/>
        <v>0</v>
      </c>
      <c r="U54" s="67">
        <v>2</v>
      </c>
      <c r="V54" s="66">
        <f t="shared" si="57"/>
        <v>120700</v>
      </c>
      <c r="W54" s="67"/>
      <c r="X54" s="66">
        <f t="shared" si="58"/>
        <v>0</v>
      </c>
      <c r="Y54" s="67">
        <v>2</v>
      </c>
      <c r="Z54" s="66">
        <f t="shared" si="59"/>
        <v>120700</v>
      </c>
      <c r="AA54" s="67">
        <v>2</v>
      </c>
      <c r="AB54" s="66">
        <f t="shared" si="60"/>
        <v>120700</v>
      </c>
      <c r="AC54" s="67">
        <v>2</v>
      </c>
      <c r="AD54" s="66">
        <f t="shared" si="61"/>
        <v>120700</v>
      </c>
      <c r="AE54" s="68">
        <v>40</v>
      </c>
      <c r="AF54" s="66">
        <f t="shared" si="76"/>
        <v>18105000</v>
      </c>
      <c r="AG54" s="67">
        <v>2</v>
      </c>
      <c r="AH54" s="66">
        <f t="shared" si="62"/>
        <v>120700</v>
      </c>
      <c r="AI54" s="67">
        <v>2</v>
      </c>
      <c r="AJ54" s="66">
        <f t="shared" si="63"/>
        <v>120700</v>
      </c>
      <c r="AK54" s="67">
        <v>2</v>
      </c>
      <c r="AL54" s="66">
        <f t="shared" si="64"/>
        <v>120700</v>
      </c>
      <c r="AM54" s="67">
        <v>2</v>
      </c>
      <c r="AN54" s="66">
        <f t="shared" si="65"/>
        <v>120700</v>
      </c>
      <c r="AO54" s="67">
        <v>2</v>
      </c>
      <c r="AP54" s="66">
        <f t="shared" si="66"/>
        <v>120700</v>
      </c>
      <c r="AQ54" s="67">
        <v>2</v>
      </c>
      <c r="AR54" s="66">
        <f t="shared" si="67"/>
        <v>120700</v>
      </c>
      <c r="AS54" s="67">
        <v>1</v>
      </c>
      <c r="AT54" s="66">
        <f t="shared" si="68"/>
        <v>60350</v>
      </c>
      <c r="AU54" s="67">
        <v>1</v>
      </c>
      <c r="AV54" s="66">
        <f t="shared" si="69"/>
        <v>60350</v>
      </c>
      <c r="AW54" s="67"/>
      <c r="AX54" s="66">
        <f t="shared" si="70"/>
        <v>0</v>
      </c>
      <c r="AY54" s="67"/>
      <c r="AZ54" s="66">
        <f t="shared" si="71"/>
        <v>0</v>
      </c>
      <c r="BA54" s="62">
        <f t="shared" si="72"/>
        <v>62</v>
      </c>
      <c r="BB54" s="61">
        <f t="shared" si="73"/>
        <v>19432700</v>
      </c>
      <c r="BC54" s="65">
        <f t="shared" si="74"/>
        <v>-40</v>
      </c>
      <c r="BD54" s="60">
        <f t="shared" si="75"/>
        <v>-18105000</v>
      </c>
    </row>
    <row r="55" spans="1:58" s="11" customFormat="1" ht="22.8" x14ac:dyDescent="0.3">
      <c r="A55" s="38"/>
      <c r="B55" s="76" t="s">
        <v>9</v>
      </c>
      <c r="C55" s="75" t="s">
        <v>6</v>
      </c>
      <c r="D55" s="74"/>
      <c r="E55" s="73">
        <v>67700</v>
      </c>
      <c r="F55" s="72">
        <v>1</v>
      </c>
      <c r="G55" s="71">
        <v>1</v>
      </c>
      <c r="H55" s="70"/>
      <c r="I55" s="67"/>
      <c r="J55" s="69">
        <f t="shared" si="51"/>
        <v>0</v>
      </c>
      <c r="K55" s="67"/>
      <c r="L55" s="69">
        <f t="shared" si="52"/>
        <v>0</v>
      </c>
      <c r="M55" s="67"/>
      <c r="N55" s="69">
        <f t="shared" si="53"/>
        <v>0</v>
      </c>
      <c r="O55" s="67"/>
      <c r="P55" s="69">
        <f t="shared" si="54"/>
        <v>0</v>
      </c>
      <c r="Q55" s="67"/>
      <c r="R55" s="69"/>
      <c r="S55" s="67"/>
      <c r="T55" s="66"/>
      <c r="U55" s="67"/>
      <c r="V55" s="66"/>
      <c r="W55" s="67"/>
      <c r="X55" s="66">
        <f t="shared" si="58"/>
        <v>0</v>
      </c>
      <c r="Y55" s="67"/>
      <c r="Z55" s="66"/>
      <c r="AA55" s="67"/>
      <c r="AB55" s="66"/>
      <c r="AC55" s="67"/>
      <c r="AD55" s="66"/>
      <c r="AE55" s="68">
        <v>40</v>
      </c>
      <c r="AF55" s="66">
        <f t="shared" si="76"/>
        <v>20310000</v>
      </c>
      <c r="AG55" s="67"/>
      <c r="AH55" s="66"/>
      <c r="AI55" s="67"/>
      <c r="AJ55" s="66"/>
      <c r="AK55" s="67"/>
      <c r="AL55" s="66"/>
      <c r="AM55" s="67"/>
      <c r="AN55" s="66"/>
      <c r="AO55" s="67"/>
      <c r="AP55" s="66"/>
      <c r="AQ55" s="67"/>
      <c r="AR55" s="66"/>
      <c r="AS55" s="67"/>
      <c r="AT55" s="66"/>
      <c r="AU55" s="67"/>
      <c r="AV55" s="66"/>
      <c r="AW55" s="67"/>
      <c r="AX55" s="66">
        <f t="shared" si="70"/>
        <v>0</v>
      </c>
      <c r="AY55" s="67"/>
      <c r="AZ55" s="66"/>
      <c r="BA55" s="62">
        <f t="shared" si="72"/>
        <v>40</v>
      </c>
      <c r="BB55" s="61">
        <f t="shared" si="73"/>
        <v>20310000</v>
      </c>
      <c r="BC55" s="65"/>
      <c r="BD55" s="60"/>
    </row>
    <row r="56" spans="1:58" s="11" customFormat="1" ht="22.8" x14ac:dyDescent="0.3">
      <c r="A56" s="38"/>
      <c r="B56" s="76" t="s">
        <v>8</v>
      </c>
      <c r="C56" s="75" t="s">
        <v>6</v>
      </c>
      <c r="D56" s="74"/>
      <c r="E56" s="73">
        <f>25200</f>
        <v>25200</v>
      </c>
      <c r="F56" s="72">
        <v>1</v>
      </c>
      <c r="G56" s="71">
        <v>1</v>
      </c>
      <c r="H56" s="70"/>
      <c r="I56" s="67"/>
      <c r="J56" s="69">
        <f t="shared" si="51"/>
        <v>0</v>
      </c>
      <c r="K56" s="67"/>
      <c r="L56" s="69">
        <f t="shared" si="52"/>
        <v>0</v>
      </c>
      <c r="M56" s="67"/>
      <c r="N56" s="69">
        <f t="shared" si="53"/>
        <v>0</v>
      </c>
      <c r="O56" s="67"/>
      <c r="P56" s="69">
        <f t="shared" si="54"/>
        <v>0</v>
      </c>
      <c r="Q56" s="67"/>
      <c r="R56" s="69"/>
      <c r="S56" s="67"/>
      <c r="T56" s="66"/>
      <c r="U56" s="67"/>
      <c r="V56" s="66"/>
      <c r="W56" s="67"/>
      <c r="X56" s="66"/>
      <c r="Y56" s="67"/>
      <c r="Z56" s="66"/>
      <c r="AA56" s="67"/>
      <c r="AB56" s="66"/>
      <c r="AC56" s="67"/>
      <c r="AD56" s="66"/>
      <c r="AE56" s="68">
        <v>50</v>
      </c>
      <c r="AF56" s="66">
        <f t="shared" si="76"/>
        <v>9450000</v>
      </c>
      <c r="AG56" s="67"/>
      <c r="AH56" s="66"/>
      <c r="AI56" s="67"/>
      <c r="AJ56" s="66"/>
      <c r="AK56" s="67"/>
      <c r="AL56" s="66"/>
      <c r="AM56" s="67"/>
      <c r="AN56" s="66"/>
      <c r="AO56" s="67"/>
      <c r="AP56" s="66"/>
      <c r="AQ56" s="67"/>
      <c r="AR56" s="66"/>
      <c r="AS56" s="67"/>
      <c r="AT56" s="66"/>
      <c r="AU56" s="67"/>
      <c r="AV56" s="66"/>
      <c r="AW56" s="67"/>
      <c r="AX56" s="66"/>
      <c r="AY56" s="67"/>
      <c r="AZ56" s="66"/>
      <c r="BA56" s="62">
        <f t="shared" si="72"/>
        <v>50</v>
      </c>
      <c r="BB56" s="61">
        <f t="shared" si="73"/>
        <v>9450000</v>
      </c>
      <c r="BC56" s="65"/>
      <c r="BD56" s="60"/>
    </row>
    <row r="57" spans="1:58" s="11" customFormat="1" ht="30" x14ac:dyDescent="0.3">
      <c r="A57" s="38"/>
      <c r="B57" s="76" t="s">
        <v>7</v>
      </c>
      <c r="C57" s="75" t="s">
        <v>6</v>
      </c>
      <c r="D57" s="74"/>
      <c r="E57" s="73">
        <f>91100</f>
        <v>91100</v>
      </c>
      <c r="F57" s="72">
        <v>1</v>
      </c>
      <c r="G57" s="71">
        <v>1</v>
      </c>
      <c r="H57" s="70"/>
      <c r="I57" s="67"/>
      <c r="J57" s="69">
        <f t="shared" si="51"/>
        <v>0</v>
      </c>
      <c r="K57" s="67"/>
      <c r="L57" s="69">
        <f t="shared" si="52"/>
        <v>0</v>
      </c>
      <c r="M57" s="67"/>
      <c r="N57" s="69">
        <f t="shared" si="53"/>
        <v>0</v>
      </c>
      <c r="O57" s="67"/>
      <c r="P57" s="69">
        <f t="shared" si="54"/>
        <v>0</v>
      </c>
      <c r="Q57" s="67"/>
      <c r="R57" s="69"/>
      <c r="S57" s="67"/>
      <c r="T57" s="66"/>
      <c r="U57" s="67"/>
      <c r="V57" s="66"/>
      <c r="W57" s="67"/>
      <c r="X57" s="66"/>
      <c r="Y57" s="67"/>
      <c r="Z57" s="66"/>
      <c r="AA57" s="67"/>
      <c r="AB57" s="66"/>
      <c r="AC57" s="67"/>
      <c r="AD57" s="66"/>
      <c r="AE57" s="68">
        <v>5</v>
      </c>
      <c r="AF57" s="66">
        <f t="shared" si="76"/>
        <v>3416250</v>
      </c>
      <c r="AG57" s="67"/>
      <c r="AH57" s="66"/>
      <c r="AI57" s="67"/>
      <c r="AJ57" s="66"/>
      <c r="AK57" s="67"/>
      <c r="AL57" s="66"/>
      <c r="AM57" s="67"/>
      <c r="AN57" s="66"/>
      <c r="AO57" s="67"/>
      <c r="AP57" s="66"/>
      <c r="AQ57" s="67"/>
      <c r="AR57" s="66"/>
      <c r="AS57" s="67"/>
      <c r="AT57" s="66"/>
      <c r="AU57" s="67"/>
      <c r="AV57" s="66"/>
      <c r="AW57" s="67"/>
      <c r="AX57" s="66"/>
      <c r="AY57" s="67"/>
      <c r="AZ57" s="66"/>
      <c r="BA57" s="62">
        <f t="shared" si="72"/>
        <v>5</v>
      </c>
      <c r="BB57" s="61">
        <f t="shared" si="73"/>
        <v>3416250</v>
      </c>
      <c r="BC57" s="65"/>
      <c r="BD57" s="60"/>
    </row>
    <row r="58" spans="1:58" s="11" customFormat="1" ht="29.25" customHeight="1" x14ac:dyDescent="0.3">
      <c r="A58" s="38"/>
      <c r="B58" s="37" t="s">
        <v>5</v>
      </c>
      <c r="C58" s="36"/>
      <c r="D58" s="36"/>
      <c r="E58" s="36"/>
      <c r="F58" s="36"/>
      <c r="G58" s="64"/>
      <c r="H58" s="32">
        <f>SUM(H38:H54)</f>
        <v>362485300</v>
      </c>
      <c r="I58" s="52"/>
      <c r="J58" s="63">
        <f>SUM(J38:J57)</f>
        <v>0</v>
      </c>
      <c r="K58" s="52"/>
      <c r="L58" s="63">
        <f>SUM(L38:L57)</f>
        <v>0</v>
      </c>
      <c r="M58" s="52"/>
      <c r="N58" s="63">
        <f>SUM(N38:N57)</f>
        <v>0</v>
      </c>
      <c r="O58" s="52"/>
      <c r="P58" s="63">
        <f>SUM(P38:P57)</f>
        <v>0</v>
      </c>
      <c r="Q58" s="52"/>
      <c r="R58" s="63">
        <f>SUM(R38:R54)</f>
        <v>16968000</v>
      </c>
      <c r="S58" s="52"/>
      <c r="T58" s="63">
        <f>SUM(T38:T54)</f>
        <v>21210000</v>
      </c>
      <c r="U58" s="52"/>
      <c r="V58" s="63">
        <f>SUM(V38:V54)</f>
        <v>22598000</v>
      </c>
      <c r="W58" s="52"/>
      <c r="X58" s="63">
        <f>SUM(X38:X55)</f>
        <v>21431600</v>
      </c>
      <c r="Y58" s="52"/>
      <c r="Z58" s="63">
        <f>SUM(Z38:Z54)</f>
        <v>22598000</v>
      </c>
      <c r="AA58" s="52"/>
      <c r="AB58" s="63">
        <f>SUM(AB38:AB54)</f>
        <v>23536000</v>
      </c>
      <c r="AC58" s="52"/>
      <c r="AD58" s="63">
        <f>SUM(AD38:AD54)</f>
        <v>23536000</v>
      </c>
      <c r="AE58" s="63"/>
      <c r="AF58" s="63">
        <f>SUM(AF38:AF54)</f>
        <v>121811250</v>
      </c>
      <c r="AG58" s="52"/>
      <c r="AH58" s="63">
        <f>SUM(AH38:AH54)</f>
        <v>23543650</v>
      </c>
      <c r="AI58" s="52"/>
      <c r="AJ58" s="63">
        <f>SUM(AJ38:AJ54)</f>
        <v>23536000</v>
      </c>
      <c r="AK58" s="52"/>
      <c r="AL58" s="63">
        <f>SUM(AL38:AL54)</f>
        <v>23536000</v>
      </c>
      <c r="AM58" s="52"/>
      <c r="AN58" s="63">
        <f>SUM(AN38:AN54)</f>
        <v>23536000</v>
      </c>
      <c r="AO58" s="52"/>
      <c r="AP58" s="63">
        <f>SUM(AP38:AP54)</f>
        <v>23543650</v>
      </c>
      <c r="AQ58" s="52"/>
      <c r="AR58" s="63">
        <f>SUM(AR38:AR54)</f>
        <v>23425200</v>
      </c>
      <c r="AS58" s="52"/>
      <c r="AT58" s="63">
        <f>SUM(AT38:AT54)</f>
        <v>22842000</v>
      </c>
      <c r="AU58" s="52"/>
      <c r="AV58" s="63">
        <f>SUM(AV38:AV54)</f>
        <v>21793200</v>
      </c>
      <c r="AW58" s="52"/>
      <c r="AX58" s="63">
        <f>SUM(AX38:AX55)</f>
        <v>20730000</v>
      </c>
      <c r="AY58" s="52"/>
      <c r="AZ58" s="63">
        <f>SUM(AZ38:AZ54)</f>
        <v>4122000</v>
      </c>
      <c r="BA58" s="62"/>
      <c r="BB58" s="61">
        <f t="shared" si="73"/>
        <v>484296550</v>
      </c>
      <c r="BC58" s="26"/>
      <c r="BD58" s="60">
        <f>H58-BB58</f>
        <v>-121811250</v>
      </c>
      <c r="BF58" s="12"/>
    </row>
    <row r="59" spans="1:58" s="11" customFormat="1" ht="6.75" customHeight="1" x14ac:dyDescent="0.3">
      <c r="A59" s="59"/>
      <c r="B59" s="41"/>
      <c r="C59" s="40"/>
      <c r="D59" s="58"/>
      <c r="E59" s="57"/>
      <c r="F59" s="57"/>
      <c r="G59" s="56"/>
      <c r="H59" s="32"/>
      <c r="I59" s="40"/>
      <c r="J59" s="55"/>
      <c r="K59" s="40"/>
      <c r="L59" s="55"/>
      <c r="M59" s="40"/>
      <c r="N59" s="55"/>
      <c r="O59" s="40"/>
      <c r="P59" s="55"/>
      <c r="Q59" s="40"/>
      <c r="R59" s="55"/>
      <c r="S59" s="40"/>
      <c r="T59" s="55"/>
      <c r="U59" s="40"/>
      <c r="V59" s="55"/>
      <c r="W59" s="40"/>
      <c r="X59" s="55"/>
      <c r="Y59" s="40"/>
      <c r="Z59" s="55"/>
      <c r="AA59" s="40"/>
      <c r="AB59" s="55"/>
      <c r="AC59" s="40"/>
      <c r="AD59" s="55"/>
      <c r="AE59" s="55"/>
      <c r="AF59" s="55"/>
      <c r="AG59" s="40"/>
      <c r="AH59" s="55"/>
      <c r="AI59" s="40"/>
      <c r="AJ59" s="55"/>
      <c r="AK59" s="40"/>
      <c r="AL59" s="55"/>
      <c r="AM59" s="40"/>
      <c r="AN59" s="55"/>
      <c r="AO59" s="40"/>
      <c r="AP59" s="55"/>
      <c r="AQ59" s="40"/>
      <c r="AR59" s="55"/>
      <c r="AS59" s="40"/>
      <c r="AT59" s="55"/>
      <c r="AU59" s="40"/>
      <c r="AV59" s="55"/>
      <c r="AW59" s="40"/>
      <c r="AX59" s="55"/>
      <c r="AY59" s="40"/>
      <c r="AZ59" s="55"/>
      <c r="BA59" s="41"/>
      <c r="BB59" s="54"/>
      <c r="BC59" s="40"/>
      <c r="BD59" s="54"/>
    </row>
    <row r="60" spans="1:58" s="11" customFormat="1" ht="34.5" customHeight="1" x14ac:dyDescent="0.3">
      <c r="A60" s="53" t="s">
        <v>4</v>
      </c>
      <c r="B60" s="330" t="s">
        <v>3</v>
      </c>
      <c r="C60" s="331"/>
      <c r="D60" s="331"/>
      <c r="E60" s="331"/>
      <c r="F60" s="331"/>
      <c r="G60" s="332"/>
      <c r="H60" s="32">
        <f>H34+H58</f>
        <v>1030694428.6</v>
      </c>
      <c r="I60" s="52"/>
      <c r="J60" s="51">
        <f>J34+J58</f>
        <v>2028663.52</v>
      </c>
      <c r="K60" s="52"/>
      <c r="L60" s="51">
        <f>L34+L58</f>
        <v>2535829.4</v>
      </c>
      <c r="M60" s="52"/>
      <c r="N60" s="51">
        <f>N34+N58</f>
        <v>2535829.4</v>
      </c>
      <c r="O60" s="52"/>
      <c r="P60" s="51">
        <f>P34+P58</f>
        <v>2535829.4</v>
      </c>
      <c r="Q60" s="52"/>
      <c r="R60" s="51">
        <f>R34+R58</f>
        <v>51645475.979999997</v>
      </c>
      <c r="S60" s="52"/>
      <c r="T60" s="51">
        <f>T34+T58</f>
        <v>63922885.600000001</v>
      </c>
      <c r="U60" s="52"/>
      <c r="V60" s="51">
        <f>V34+V58</f>
        <v>65310885.600000001</v>
      </c>
      <c r="W60" s="52"/>
      <c r="X60" s="51">
        <f>X34+X58</f>
        <v>64144485.600000001</v>
      </c>
      <c r="Y60" s="52"/>
      <c r="Z60" s="51">
        <f>Z34+Z58</f>
        <v>65310885.600000001</v>
      </c>
      <c r="AA60" s="52"/>
      <c r="AB60" s="51">
        <f>AB34+AB58</f>
        <v>66248885.600000001</v>
      </c>
      <c r="AC60" s="52"/>
      <c r="AD60" s="51">
        <f>AD34+AD58</f>
        <v>66248885.600000001</v>
      </c>
      <c r="AE60" s="51"/>
      <c r="AF60" s="51">
        <f>AF34+AF58</f>
        <v>208066654</v>
      </c>
      <c r="AG60" s="52"/>
      <c r="AH60" s="51">
        <f>AH34+AH58</f>
        <v>66256535.600000001</v>
      </c>
      <c r="AI60" s="52"/>
      <c r="AJ60" s="51">
        <f>AJ34+AJ58</f>
        <v>66248885.600000001</v>
      </c>
      <c r="AK60" s="52"/>
      <c r="AL60" s="51">
        <f>AL34+AL58</f>
        <v>66248885.600000001</v>
      </c>
      <c r="AM60" s="52"/>
      <c r="AN60" s="51">
        <f>AN34+AN58</f>
        <v>66248885.600000001</v>
      </c>
      <c r="AO60" s="52"/>
      <c r="AP60" s="51">
        <f>AP34+AP58</f>
        <v>66256535.600000001</v>
      </c>
      <c r="AQ60" s="52"/>
      <c r="AR60" s="51">
        <f>AR34+AR58</f>
        <v>66138085.600000001</v>
      </c>
      <c r="AS60" s="52"/>
      <c r="AT60" s="51">
        <f>AT34+AT58</f>
        <v>65554885.600000001</v>
      </c>
      <c r="AU60" s="52"/>
      <c r="AV60" s="51">
        <f>AV34+AV58</f>
        <v>64506085.600000001</v>
      </c>
      <c r="AW60" s="52"/>
      <c r="AX60" s="51">
        <f>AX34+AX58</f>
        <v>43170597.5</v>
      </c>
      <c r="AY60" s="52"/>
      <c r="AZ60" s="51">
        <f>AZ34+AZ58</f>
        <v>7596505</v>
      </c>
      <c r="BA60" s="50"/>
      <c r="BB60" s="49">
        <f>BB34+BB58</f>
        <v>1238761082.5999999</v>
      </c>
      <c r="BC60" s="26"/>
      <c r="BD60" s="49">
        <f>BD34+BD58</f>
        <v>-174504154</v>
      </c>
      <c r="BF60" s="12"/>
    </row>
    <row r="61" spans="1:58" s="11" customFormat="1" ht="6.75" customHeight="1" x14ac:dyDescent="0.3">
      <c r="A61" s="48"/>
      <c r="B61" s="47"/>
      <c r="C61" s="46"/>
      <c r="D61" s="45"/>
      <c r="E61" s="44"/>
      <c r="F61" s="44"/>
      <c r="G61" s="43"/>
      <c r="H61" s="32"/>
      <c r="I61" s="40"/>
      <c r="J61" s="42"/>
      <c r="K61" s="40"/>
      <c r="L61" s="42"/>
      <c r="M61" s="40"/>
      <c r="N61" s="42"/>
      <c r="O61" s="40"/>
      <c r="P61" s="42"/>
      <c r="Q61" s="40"/>
      <c r="R61" s="42"/>
      <c r="S61" s="40"/>
      <c r="T61" s="42"/>
      <c r="U61" s="40"/>
      <c r="V61" s="42"/>
      <c r="W61" s="40"/>
      <c r="X61" s="42"/>
      <c r="Y61" s="40"/>
      <c r="Z61" s="42"/>
      <c r="AA61" s="40"/>
      <c r="AB61" s="42"/>
      <c r="AC61" s="40"/>
      <c r="AD61" s="42"/>
      <c r="AE61" s="42"/>
      <c r="AF61" s="42"/>
      <c r="AG61" s="40"/>
      <c r="AH61" s="42"/>
      <c r="AI61" s="40"/>
      <c r="AJ61" s="42"/>
      <c r="AK61" s="40"/>
      <c r="AL61" s="42"/>
      <c r="AM61" s="40"/>
      <c r="AN61" s="42"/>
      <c r="AO61" s="40"/>
      <c r="AP61" s="42"/>
      <c r="AQ61" s="40"/>
      <c r="AR61" s="42"/>
      <c r="AS61" s="40"/>
      <c r="AT61" s="42"/>
      <c r="AU61" s="40"/>
      <c r="AV61" s="42"/>
      <c r="AW61" s="40"/>
      <c r="AX61" s="42"/>
      <c r="AY61" s="40"/>
      <c r="AZ61" s="42"/>
      <c r="BA61" s="41"/>
      <c r="BB61" s="39"/>
      <c r="BC61" s="40"/>
      <c r="BD61" s="39"/>
    </row>
    <row r="62" spans="1:58" s="11" customFormat="1" ht="32.25" customHeight="1" x14ac:dyDescent="0.3">
      <c r="A62" s="38"/>
      <c r="B62" s="37" t="s">
        <v>2</v>
      </c>
      <c r="C62" s="36"/>
      <c r="D62" s="29"/>
      <c r="E62" s="35"/>
      <c r="F62" s="34"/>
      <c r="G62" s="33"/>
      <c r="H62" s="32">
        <f>+ROUND(H60*0.19,0)</f>
        <v>195831941</v>
      </c>
      <c r="I62" s="29"/>
      <c r="J62" s="28">
        <f>+ROUND(J60*0.19,0)</f>
        <v>385446</v>
      </c>
      <c r="K62" s="29"/>
      <c r="L62" s="28">
        <f>+ROUND(L60*0.19,0)</f>
        <v>481808</v>
      </c>
      <c r="M62" s="29"/>
      <c r="N62" s="28">
        <f>+ROUND(N60*0.19,0)</f>
        <v>481808</v>
      </c>
      <c r="O62" s="29"/>
      <c r="P62" s="28">
        <f>+ROUND(P60*0.19,0)</f>
        <v>481808</v>
      </c>
      <c r="Q62" s="29"/>
      <c r="R62" s="28">
        <f>+ROUND(R60*0.19,0)</f>
        <v>9812640</v>
      </c>
      <c r="S62" s="29"/>
      <c r="T62" s="28">
        <f>+ROUND(T60*0.19,0)</f>
        <v>12145348</v>
      </c>
      <c r="U62" s="29"/>
      <c r="V62" s="28">
        <f>+ROUND(V60*0.19,0)</f>
        <v>12409068</v>
      </c>
      <c r="W62" s="29"/>
      <c r="X62" s="28">
        <f>+ROUND(X60*0.19,0)</f>
        <v>12187452</v>
      </c>
      <c r="Y62" s="29"/>
      <c r="Z62" s="28">
        <f>+ROUND(Z60*0.19,0)</f>
        <v>12409068</v>
      </c>
      <c r="AA62" s="29"/>
      <c r="AB62" s="28">
        <f>+ROUND(AB60*0.19,0)</f>
        <v>12587288</v>
      </c>
      <c r="AC62" s="29"/>
      <c r="AD62" s="28">
        <f>+ROUND(AD60*0.19,0)</f>
        <v>12587288</v>
      </c>
      <c r="AE62" s="31"/>
      <c r="AF62" s="30">
        <f>+ROUND(AF60*0.19,2)</f>
        <v>39532664.259999998</v>
      </c>
      <c r="AG62" s="29"/>
      <c r="AH62" s="28">
        <f>+ROUND(AH60*0.19,0)</f>
        <v>12588742</v>
      </c>
      <c r="AI62" s="29"/>
      <c r="AJ62" s="28">
        <f>+ROUND(AJ60*0.19,0)</f>
        <v>12587288</v>
      </c>
      <c r="AK62" s="29"/>
      <c r="AL62" s="28">
        <f>+ROUND(AL60*0.19,0)</f>
        <v>12587288</v>
      </c>
      <c r="AM62" s="29"/>
      <c r="AN62" s="28">
        <f>+ROUND(AN60*0.19,0)</f>
        <v>12587288</v>
      </c>
      <c r="AO62" s="29"/>
      <c r="AP62" s="28">
        <f>+ROUND(AP60*0.19,0)</f>
        <v>12588742</v>
      </c>
      <c r="AQ62" s="29"/>
      <c r="AR62" s="28">
        <f>+ROUND(AR60*0.19,0)</f>
        <v>12566236</v>
      </c>
      <c r="AS62" s="29"/>
      <c r="AT62" s="28">
        <f>+ROUND(AT60*0.19,0)</f>
        <v>12455428</v>
      </c>
      <c r="AU62" s="29"/>
      <c r="AV62" s="28">
        <f>+ROUND(AV60*0.19,0)</f>
        <v>12256156</v>
      </c>
      <c r="AW62" s="29"/>
      <c r="AX62" s="28">
        <f>+ROUND(AX60*0.19,0)</f>
        <v>8202414</v>
      </c>
      <c r="AY62" s="29"/>
      <c r="AZ62" s="28">
        <f>+ROUND(AZ60*0.19,0)</f>
        <v>1443336</v>
      </c>
      <c r="BA62" s="27"/>
      <c r="BB62" s="25">
        <f>+ROUND(BB60*0.19,0)</f>
        <v>235364606</v>
      </c>
      <c r="BC62" s="26"/>
      <c r="BD62" s="25">
        <f>+ROUND(BD60*0.19,0)</f>
        <v>-33155789</v>
      </c>
    </row>
    <row r="63" spans="1:58" s="11" customFormat="1" ht="23.4" thickBot="1" x14ac:dyDescent="0.35">
      <c r="A63" s="24"/>
      <c r="B63" s="23" t="s">
        <v>1</v>
      </c>
      <c r="C63" s="22"/>
      <c r="D63" s="22"/>
      <c r="E63" s="22"/>
      <c r="F63" s="22"/>
      <c r="G63" s="21"/>
      <c r="H63" s="20">
        <f>+H60+H62</f>
        <v>1226526369.5999999</v>
      </c>
      <c r="I63" s="17"/>
      <c r="J63" s="16">
        <f>+J60+J62</f>
        <v>2414109.52</v>
      </c>
      <c r="K63" s="17"/>
      <c r="L63" s="16">
        <f>+L60+L62</f>
        <v>3017637.4</v>
      </c>
      <c r="M63" s="17"/>
      <c r="N63" s="16">
        <f>+N60+N62</f>
        <v>3017637.4</v>
      </c>
      <c r="O63" s="17"/>
      <c r="P63" s="16">
        <f>+P60+P62</f>
        <v>3017637.4</v>
      </c>
      <c r="Q63" s="17"/>
      <c r="R63" s="16">
        <f>+R60+R62</f>
        <v>61458115.979999997</v>
      </c>
      <c r="S63" s="17"/>
      <c r="T63" s="16">
        <f>+T60+T62</f>
        <v>76068233.599999994</v>
      </c>
      <c r="U63" s="17"/>
      <c r="V63" s="16">
        <f>+V60+V62</f>
        <v>77719953.599999994</v>
      </c>
      <c r="W63" s="17"/>
      <c r="X63" s="16">
        <f>+X60+X62</f>
        <v>76331937.599999994</v>
      </c>
      <c r="Y63" s="17"/>
      <c r="Z63" s="16">
        <f>+Z60+Z62</f>
        <v>77719953.599999994</v>
      </c>
      <c r="AA63" s="17"/>
      <c r="AB63" s="16">
        <f>+AB60+AB62</f>
        <v>78836173.599999994</v>
      </c>
      <c r="AC63" s="17"/>
      <c r="AD63" s="16">
        <f>+AD60+AD62</f>
        <v>78836173.599999994</v>
      </c>
      <c r="AE63" s="19"/>
      <c r="AF63" s="18">
        <f>+AF60+AF62</f>
        <v>247599318.25999999</v>
      </c>
      <c r="AG63" s="17"/>
      <c r="AH63" s="16">
        <f>+AH60+AH62</f>
        <v>78845277.599999994</v>
      </c>
      <c r="AI63" s="17"/>
      <c r="AJ63" s="16">
        <f>+AJ60+AJ62</f>
        <v>78836173.599999994</v>
      </c>
      <c r="AK63" s="17"/>
      <c r="AL63" s="16">
        <f>+AL60+AL62</f>
        <v>78836173.599999994</v>
      </c>
      <c r="AM63" s="17"/>
      <c r="AN63" s="16">
        <f>+AN60+AN62</f>
        <v>78836173.599999994</v>
      </c>
      <c r="AO63" s="17"/>
      <c r="AP63" s="16">
        <f>+AP60+AP62</f>
        <v>78845277.599999994</v>
      </c>
      <c r="AQ63" s="17"/>
      <c r="AR63" s="16">
        <f>+AR60+AR62</f>
        <v>78704321.599999994</v>
      </c>
      <c r="AS63" s="17"/>
      <c r="AT63" s="16">
        <f>+AT60+AT62</f>
        <v>78010313.599999994</v>
      </c>
      <c r="AU63" s="17"/>
      <c r="AV63" s="16">
        <f>+AV60+AV62</f>
        <v>76762241.599999994</v>
      </c>
      <c r="AW63" s="17"/>
      <c r="AX63" s="16">
        <f>+AX60+AX62</f>
        <v>51373011.5</v>
      </c>
      <c r="AY63" s="17"/>
      <c r="AZ63" s="16">
        <f>+AZ60+AZ62</f>
        <v>9039841</v>
      </c>
      <c r="BA63" s="15"/>
      <c r="BB63" s="13">
        <f>+BB60+BB62</f>
        <v>1474125688.5999999</v>
      </c>
      <c r="BC63" s="14"/>
      <c r="BD63" s="13">
        <f>+BD60+BD62</f>
        <v>-207659943</v>
      </c>
      <c r="BF63" s="12"/>
    </row>
    <row r="64" spans="1:58" ht="40.5" customHeight="1" x14ac:dyDescent="0.3">
      <c r="B64" s="1" t="s">
        <v>0</v>
      </c>
      <c r="J64" s="10">
        <f>+J63</f>
        <v>2414109.52</v>
      </c>
      <c r="L64" s="10">
        <f>+J64+L63</f>
        <v>5431746.9199999999</v>
      </c>
      <c r="N64" s="10">
        <f>+L64+N63</f>
        <v>8449384.3200000003</v>
      </c>
      <c r="P64" s="10">
        <f>+N64+P63</f>
        <v>11467021.720000001</v>
      </c>
      <c r="R64" s="10">
        <f>+P64+R63</f>
        <v>72925137.700000003</v>
      </c>
      <c r="T64" s="10">
        <f>+R64+T63</f>
        <v>148993371.30000001</v>
      </c>
      <c r="V64" s="10">
        <f>+T64+V63</f>
        <v>226713324.90000001</v>
      </c>
      <c r="X64" s="10">
        <f>+V64+X63</f>
        <v>303045262.5</v>
      </c>
      <c r="Z64" s="10">
        <f>+X64+Z63</f>
        <v>380765216.10000002</v>
      </c>
      <c r="AB64" s="10">
        <f>+Z64+AB63</f>
        <v>459601389.70000005</v>
      </c>
      <c r="AD64" s="10">
        <f>+AB64+AD63</f>
        <v>538437563.30000007</v>
      </c>
      <c r="AE64" s="10"/>
      <c r="AF64" s="10"/>
      <c r="AH64" s="10">
        <f>+AD64+AH63</f>
        <v>617282840.9000001</v>
      </c>
      <c r="AJ64" s="10">
        <f>+AH64+AJ63</f>
        <v>696119014.50000012</v>
      </c>
      <c r="AL64" s="10">
        <f>+AJ64+AL63</f>
        <v>774955188.10000014</v>
      </c>
      <c r="AN64" s="10">
        <f>+AL64+AN63</f>
        <v>853791361.70000017</v>
      </c>
      <c r="AP64" s="10">
        <f>+AN64+AP63</f>
        <v>932636639.30000019</v>
      </c>
      <c r="AR64" s="10">
        <f>+AP64+AR63</f>
        <v>1011340960.9000002</v>
      </c>
      <c r="AT64" s="10">
        <f>+AR64+AT63</f>
        <v>1089351274.5000002</v>
      </c>
      <c r="AV64" s="10">
        <f>+AT64+AV63</f>
        <v>1166113516.1000001</v>
      </c>
      <c r="AX64" s="10">
        <f>+AV64+AX63</f>
        <v>1217486527.6000001</v>
      </c>
      <c r="AZ64" s="10">
        <f>+AX64+AZ63</f>
        <v>1226526368.6000001</v>
      </c>
      <c r="BB64" s="6">
        <f>+H63+AF63</f>
        <v>1474125687.8599999</v>
      </c>
    </row>
    <row r="65" spans="9:56" x14ac:dyDescent="0.3">
      <c r="R65" s="2">
        <f>+R60/4</f>
        <v>12911368.994999999</v>
      </c>
    </row>
    <row r="66" spans="9:56" x14ac:dyDescent="0.3">
      <c r="J66" s="9">
        <f>J64/1226526369.6</f>
        <v>1.9682491790105582E-3</v>
      </c>
      <c r="L66" s="9">
        <f>L64/1226526369.6</f>
        <v>4.4285610604290759E-3</v>
      </c>
      <c r="N66" s="9">
        <f>N64/1226526369.6</f>
        <v>6.8888729418475937E-3</v>
      </c>
      <c r="P66" s="9">
        <f>P64/1226526369.6</f>
        <v>9.3491848232661115E-3</v>
      </c>
      <c r="R66" s="9">
        <f>R64/1226526369.6</f>
        <v>5.9456640727408631E-2</v>
      </c>
      <c r="T66" s="9">
        <f>T64/1226526369.6</f>
        <v>0.12147588098622811</v>
      </c>
      <c r="V66" s="9">
        <f>V64/1226526369.6</f>
        <v>0.18484178613618943</v>
      </c>
      <c r="X66" s="9">
        <f>X64/1226526369.6</f>
        <v>0.24707602707215373</v>
      </c>
      <c r="Z66" s="9">
        <f>Z64/1226526369.6</f>
        <v>0.31044193222211508</v>
      </c>
      <c r="AB66" s="9">
        <f>AB64/1226526369.6</f>
        <v>0.37471790341522559</v>
      </c>
      <c r="AD66" s="9">
        <f>AD64/1226526369.6</f>
        <v>0.43899387460833611</v>
      </c>
      <c r="AE66" s="9"/>
      <c r="AF66" s="9"/>
      <c r="AH66" s="9">
        <f>AH64/1226526369.6</f>
        <v>0.50327726838951781</v>
      </c>
      <c r="AJ66" s="9">
        <f>AJ64/1226526369.6</f>
        <v>0.56755323958262838</v>
      </c>
      <c r="AL66" s="9">
        <f>AL64/1226526369.6</f>
        <v>0.63182921077573884</v>
      </c>
      <c r="AN66" s="9">
        <f>AN64/1226526369.6</f>
        <v>0.69610518196884941</v>
      </c>
      <c r="AP66" s="9">
        <f>AP64/1226526369.6</f>
        <v>0.76038857575003116</v>
      </c>
      <c r="AR66" s="9">
        <f>AR64/1226526369.6</f>
        <v>0.82455704660456919</v>
      </c>
      <c r="AT66" s="9">
        <f>AT64/1226526369.6</f>
        <v>0.88815968535210876</v>
      </c>
      <c r="AV66" s="9">
        <f>AV64/1226526369.6</f>
        <v>0.95074475771792677</v>
      </c>
      <c r="AX66" s="9">
        <f>AX64/1226526369.6</f>
        <v>0.99262972062887822</v>
      </c>
      <c r="AZ66" s="9">
        <f>AZ64/1226526369.6</f>
        <v>0.99999999918468951</v>
      </c>
    </row>
    <row r="67" spans="9:56" x14ac:dyDescent="0.3">
      <c r="I67" s="8"/>
      <c r="J67" s="4"/>
      <c r="K67" s="8"/>
      <c r="L67" s="4"/>
      <c r="M67" s="8"/>
      <c r="N67" s="4"/>
      <c r="O67" s="8"/>
      <c r="P67" s="4"/>
      <c r="Q67" s="8"/>
      <c r="R67" s="4"/>
      <c r="S67" s="8"/>
      <c r="T67" s="4"/>
      <c r="U67" s="8"/>
      <c r="V67" s="4"/>
      <c r="W67" s="8"/>
      <c r="X67" s="4"/>
      <c r="Y67" s="8"/>
      <c r="Z67" s="4"/>
      <c r="AA67" s="8"/>
      <c r="AB67" s="4"/>
      <c r="AC67" s="8"/>
      <c r="AD67" s="4"/>
      <c r="AE67" s="4"/>
      <c r="AF67" s="4"/>
      <c r="AG67" s="8"/>
      <c r="AH67" s="4"/>
      <c r="AI67" s="8"/>
      <c r="AJ67" s="4"/>
      <c r="AK67" s="8"/>
      <c r="AL67" s="4"/>
      <c r="AM67" s="8"/>
      <c r="AN67" s="4"/>
      <c r="AO67" s="8"/>
      <c r="AP67" s="4"/>
      <c r="AQ67" s="8"/>
      <c r="AR67" s="4"/>
      <c r="AS67" s="8"/>
      <c r="AT67" s="4"/>
      <c r="AU67" s="8"/>
      <c r="AV67" s="4"/>
      <c r="AW67" s="8"/>
      <c r="AX67" s="4"/>
      <c r="AY67" s="8"/>
      <c r="AZ67" s="4"/>
    </row>
    <row r="68" spans="9:56" x14ac:dyDescent="0.3">
      <c r="J68" s="4"/>
      <c r="L68" s="4"/>
      <c r="N68" s="4"/>
      <c r="P68" s="4"/>
      <c r="R68" s="7">
        <f>R66/4</f>
        <v>1.4864160181852158E-2</v>
      </c>
      <c r="T68" s="4"/>
      <c r="V68" s="4"/>
      <c r="X68" s="4"/>
      <c r="Z68" s="4"/>
      <c r="AB68" s="4"/>
      <c r="AD68" s="4"/>
      <c r="AE68" s="4"/>
      <c r="AF68" s="4"/>
      <c r="AH68" s="4"/>
      <c r="AJ68" s="4"/>
      <c r="AL68" s="4"/>
      <c r="AN68" s="4"/>
      <c r="AP68" s="4"/>
      <c r="AR68" s="4"/>
      <c r="AT68" s="4"/>
      <c r="AV68" s="4"/>
      <c r="AX68" s="4"/>
      <c r="AZ68" s="4"/>
    </row>
    <row r="69" spans="9:56" x14ac:dyDescent="0.3">
      <c r="J69" s="4"/>
      <c r="L69" s="4"/>
      <c r="N69" s="4"/>
      <c r="P69" s="4"/>
      <c r="R69" s="4"/>
      <c r="T69" s="4"/>
      <c r="V69" s="4"/>
      <c r="X69" s="4"/>
      <c r="Z69" s="4"/>
      <c r="AB69" s="4"/>
      <c r="AD69" s="4"/>
      <c r="AE69" s="4"/>
      <c r="AF69" s="4"/>
      <c r="AH69" s="4"/>
      <c r="AJ69" s="4"/>
      <c r="AL69" s="4"/>
      <c r="AN69" s="4"/>
      <c r="AP69" s="4"/>
      <c r="AR69" s="4"/>
      <c r="AT69" s="4"/>
      <c r="AV69" s="4"/>
      <c r="AX69" s="4"/>
      <c r="AZ69" s="4"/>
    </row>
    <row r="70" spans="9:56" x14ac:dyDescent="0.3">
      <c r="J70" s="4"/>
      <c r="L70" s="4"/>
      <c r="N70" s="4"/>
      <c r="P70" s="4"/>
      <c r="R70" s="7">
        <f>R68*3</f>
        <v>4.4592480545556472E-2</v>
      </c>
      <c r="T70" s="4"/>
      <c r="V70" s="4"/>
      <c r="X70" s="4"/>
      <c r="Z70" s="4"/>
      <c r="AB70" s="4"/>
      <c r="AD70" s="4"/>
      <c r="AE70" s="4"/>
      <c r="AF70" s="4"/>
      <c r="AH70" s="4"/>
      <c r="AJ70" s="4"/>
      <c r="AL70" s="4"/>
      <c r="AN70" s="4"/>
      <c r="AP70" s="4"/>
      <c r="AR70" s="4"/>
      <c r="AT70" s="4"/>
      <c r="AV70" s="4"/>
      <c r="AX70" s="4"/>
      <c r="AZ70" s="4"/>
    </row>
    <row r="71" spans="9:56" x14ac:dyDescent="0.3">
      <c r="J71" s="4"/>
      <c r="L71" s="4"/>
      <c r="N71" s="4"/>
      <c r="P71" s="4"/>
      <c r="R71" s="4"/>
      <c r="T71" s="4"/>
      <c r="V71" s="4"/>
      <c r="X71" s="4"/>
      <c r="Z71" s="4"/>
      <c r="AB71" s="4"/>
      <c r="AD71" s="4"/>
      <c r="AE71" s="4"/>
      <c r="AF71" s="4"/>
      <c r="AH71" s="4"/>
      <c r="AJ71" s="4"/>
      <c r="AL71" s="4"/>
      <c r="AN71" s="4"/>
      <c r="AP71" s="4"/>
      <c r="AR71" s="4"/>
      <c r="AT71" s="4"/>
      <c r="AV71" s="4"/>
      <c r="AX71" s="4"/>
      <c r="AZ71" s="4"/>
    </row>
    <row r="72" spans="9:56" x14ac:dyDescent="0.3">
      <c r="J72" s="4"/>
      <c r="L72" s="4"/>
      <c r="N72" s="4"/>
      <c r="P72" s="4"/>
      <c r="R72" s="7">
        <f>J66+L66+N66+P66+R70</f>
        <v>6.7227348550109811E-2</v>
      </c>
      <c r="T72" s="4"/>
      <c r="V72" s="4"/>
      <c r="X72" s="4"/>
      <c r="Z72" s="4"/>
      <c r="AB72" s="4"/>
      <c r="AD72" s="4"/>
      <c r="AE72" s="4"/>
      <c r="AF72" s="4"/>
      <c r="AH72" s="4"/>
      <c r="AJ72" s="4"/>
      <c r="AL72" s="4"/>
      <c r="AN72" s="4"/>
      <c r="AP72" s="4"/>
      <c r="AR72" s="4"/>
      <c r="AT72" s="4"/>
      <c r="AV72" s="4"/>
      <c r="AX72" s="4"/>
      <c r="AZ72" s="4"/>
      <c r="BD72" s="6"/>
    </row>
    <row r="73" spans="9:56" x14ac:dyDescent="0.3">
      <c r="J73" s="4"/>
      <c r="L73" s="4"/>
      <c r="N73" s="4"/>
      <c r="P73" s="4"/>
      <c r="R73" s="4"/>
      <c r="T73" s="4"/>
      <c r="V73" s="4"/>
      <c r="X73" s="4"/>
      <c r="Z73" s="4"/>
      <c r="AB73" s="4"/>
      <c r="AD73" s="4"/>
      <c r="AE73" s="4"/>
      <c r="AF73" s="4"/>
      <c r="AH73" s="4"/>
      <c r="AJ73" s="4"/>
      <c r="AL73" s="4"/>
      <c r="AN73" s="4"/>
      <c r="AP73" s="4"/>
      <c r="AR73" s="4"/>
      <c r="AT73" s="4"/>
      <c r="AV73" s="4"/>
      <c r="AX73" s="4"/>
      <c r="AZ73" s="4"/>
    </row>
    <row r="74" spans="9:56" x14ac:dyDescent="0.3">
      <c r="J74" s="4"/>
      <c r="L74" s="4"/>
      <c r="N74" s="4"/>
      <c r="P74" s="4"/>
      <c r="R74" s="4"/>
      <c r="T74" s="4"/>
      <c r="V74" s="4"/>
      <c r="X74" s="4"/>
      <c r="Z74" s="4"/>
      <c r="AB74" s="4"/>
      <c r="AD74" s="4"/>
      <c r="AE74" s="4"/>
      <c r="AF74" s="4"/>
      <c r="AH74" s="4"/>
      <c r="AJ74" s="4"/>
      <c r="AL74" s="4"/>
      <c r="AN74" s="4"/>
      <c r="AP74" s="4"/>
      <c r="AR74" s="4"/>
      <c r="AT74" s="4"/>
      <c r="AV74" s="4"/>
      <c r="AX74" s="4"/>
      <c r="AZ74" s="4"/>
    </row>
    <row r="75" spans="9:56" x14ac:dyDescent="0.3">
      <c r="J75" s="4"/>
      <c r="L75" s="4"/>
      <c r="N75" s="4"/>
      <c r="P75" s="4"/>
      <c r="R75" s="4"/>
      <c r="T75" s="4"/>
      <c r="V75" s="4"/>
      <c r="X75" s="4"/>
      <c r="Z75" s="4"/>
      <c r="AB75" s="4"/>
      <c r="AD75" s="4"/>
      <c r="AE75" s="4"/>
      <c r="AF75" s="4"/>
      <c r="AH75" s="4"/>
      <c r="AJ75" s="4"/>
      <c r="AL75" s="4"/>
      <c r="AN75" s="4"/>
      <c r="AP75" s="4"/>
      <c r="AR75" s="4"/>
      <c r="AT75" s="4"/>
      <c r="AV75" s="4"/>
      <c r="AX75" s="4"/>
      <c r="AZ75" s="4"/>
    </row>
    <row r="76" spans="9:56" x14ac:dyDescent="0.3">
      <c r="J76" s="4"/>
      <c r="L76" s="4"/>
      <c r="N76" s="4"/>
      <c r="P76" s="4"/>
      <c r="R76" s="4"/>
      <c r="T76" s="4"/>
      <c r="V76" s="4"/>
      <c r="X76" s="4"/>
      <c r="Z76" s="4"/>
      <c r="AB76" s="4"/>
      <c r="AD76" s="4"/>
      <c r="AE76" s="4"/>
      <c r="AF76" s="4"/>
      <c r="AH76" s="4"/>
      <c r="AJ76" s="4"/>
      <c r="AL76" s="4"/>
      <c r="AN76" s="4"/>
      <c r="AP76" s="4"/>
      <c r="AR76" s="4"/>
      <c r="AT76" s="4"/>
      <c r="AV76" s="4"/>
      <c r="AX76" s="4"/>
      <c r="AZ76" s="4"/>
    </row>
    <row r="77" spans="9:56" x14ac:dyDescent="0.3">
      <c r="J77" s="4"/>
      <c r="L77" s="4"/>
      <c r="N77" s="4"/>
      <c r="P77" s="4"/>
      <c r="R77" s="4"/>
      <c r="T77" s="4"/>
      <c r="V77" s="4"/>
      <c r="X77" s="4"/>
      <c r="Z77" s="4"/>
      <c r="AB77" s="4"/>
      <c r="AD77" s="4"/>
      <c r="AE77" s="4"/>
      <c r="AF77" s="4"/>
      <c r="AH77" s="4"/>
      <c r="AJ77" s="4"/>
      <c r="AL77" s="4"/>
      <c r="AN77" s="4"/>
      <c r="AP77" s="4"/>
      <c r="AR77" s="4"/>
      <c r="AT77" s="4"/>
      <c r="AV77" s="4"/>
      <c r="AX77" s="4"/>
      <c r="AZ77" s="4"/>
    </row>
    <row r="78" spans="9:56" x14ac:dyDescent="0.3">
      <c r="J78" s="4"/>
      <c r="L78" s="4"/>
      <c r="N78" s="4"/>
      <c r="P78" s="4"/>
      <c r="R78" s="4"/>
      <c r="T78" s="4"/>
      <c r="V78" s="4"/>
      <c r="X78" s="4"/>
      <c r="Z78" s="4"/>
      <c r="AB78" s="4"/>
      <c r="AD78" s="4"/>
      <c r="AE78" s="4"/>
      <c r="AF78" s="4"/>
      <c r="AH78" s="4"/>
      <c r="AJ78" s="4"/>
      <c r="AL78" s="4"/>
      <c r="AN78" s="4"/>
      <c r="AP78" s="4"/>
      <c r="AR78" s="4"/>
      <c r="AT78" s="4"/>
      <c r="AV78" s="4"/>
      <c r="AX78" s="4"/>
      <c r="AZ78" s="4"/>
      <c r="BA78" s="5"/>
    </row>
    <row r="79" spans="9:56" x14ac:dyDescent="0.3">
      <c r="J79" s="4"/>
      <c r="L79" s="4"/>
      <c r="N79" s="4"/>
      <c r="P79" s="4"/>
      <c r="R79" s="4"/>
      <c r="T79" s="4"/>
      <c r="V79" s="4"/>
      <c r="X79" s="4"/>
      <c r="Z79" s="4"/>
      <c r="AB79" s="4"/>
      <c r="AD79" s="4"/>
      <c r="AE79" s="4"/>
      <c r="AF79" s="4"/>
      <c r="AH79" s="4"/>
      <c r="AJ79" s="4"/>
      <c r="AL79" s="4"/>
      <c r="AN79" s="4"/>
      <c r="AP79" s="4"/>
      <c r="AR79" s="4"/>
      <c r="AT79" s="4"/>
      <c r="AV79" s="4"/>
      <c r="AX79" s="4"/>
      <c r="AZ79" s="4"/>
    </row>
    <row r="80" spans="9:56" x14ac:dyDescent="0.3">
      <c r="J80" s="4"/>
      <c r="L80" s="4"/>
      <c r="N80" s="4"/>
      <c r="P80" s="4"/>
      <c r="R80" s="4"/>
      <c r="T80" s="4"/>
      <c r="V80" s="4"/>
      <c r="X80" s="4"/>
      <c r="Z80" s="4"/>
      <c r="AB80" s="4"/>
      <c r="AD80" s="4"/>
      <c r="AE80" s="4"/>
      <c r="AF80" s="4"/>
      <c r="AH80" s="4"/>
      <c r="AJ80" s="4"/>
      <c r="AL80" s="4"/>
      <c r="AN80" s="4"/>
      <c r="AP80" s="4"/>
      <c r="AR80" s="4"/>
      <c r="AT80" s="4"/>
      <c r="AV80" s="4"/>
      <c r="AX80" s="4"/>
      <c r="AZ80" s="4"/>
    </row>
    <row r="81" spans="10:52" x14ac:dyDescent="0.3">
      <c r="J81" s="4"/>
      <c r="L81" s="4"/>
      <c r="N81" s="4"/>
      <c r="P81" s="4"/>
      <c r="R81" s="4"/>
      <c r="T81" s="4"/>
      <c r="V81" s="4"/>
      <c r="X81" s="4"/>
      <c r="Z81" s="4"/>
      <c r="AB81" s="4"/>
      <c r="AD81" s="4"/>
      <c r="AE81" s="4"/>
      <c r="AF81" s="4"/>
      <c r="AH81" s="4"/>
      <c r="AJ81" s="4"/>
      <c r="AL81" s="4"/>
      <c r="AN81" s="4"/>
      <c r="AP81" s="4"/>
      <c r="AR81" s="4"/>
      <c r="AT81" s="4"/>
      <c r="AV81" s="4"/>
      <c r="AX81" s="4"/>
      <c r="AZ81" s="4"/>
    </row>
    <row r="82" spans="10:52" x14ac:dyDescent="0.3">
      <c r="J82" s="4"/>
      <c r="L82" s="4"/>
      <c r="N82" s="4"/>
      <c r="P82" s="4"/>
      <c r="R82" s="4"/>
      <c r="T82" s="4"/>
      <c r="V82" s="4"/>
      <c r="X82" s="4"/>
      <c r="Z82" s="4"/>
      <c r="AB82" s="4"/>
      <c r="AD82" s="4"/>
      <c r="AE82" s="4"/>
      <c r="AF82" s="4"/>
      <c r="AH82" s="4"/>
      <c r="AJ82" s="4"/>
      <c r="AL82" s="4"/>
      <c r="AN82" s="4"/>
      <c r="AP82" s="4"/>
      <c r="AR82" s="4"/>
      <c r="AT82" s="4"/>
      <c r="AV82" s="4"/>
      <c r="AX82" s="4"/>
      <c r="AZ82" s="4"/>
    </row>
    <row r="83" spans="10:52" x14ac:dyDescent="0.3">
      <c r="J83" s="4"/>
      <c r="L83" s="4"/>
      <c r="N83" s="4"/>
      <c r="P83" s="4"/>
      <c r="R83" s="4"/>
      <c r="T83" s="4"/>
      <c r="V83" s="4"/>
      <c r="X83" s="4"/>
      <c r="Z83" s="4"/>
      <c r="AB83" s="4"/>
      <c r="AD83" s="4"/>
      <c r="AE83" s="4"/>
      <c r="AF83" s="4"/>
      <c r="AH83" s="4"/>
      <c r="AJ83" s="4"/>
      <c r="AL83" s="4"/>
      <c r="AN83" s="4"/>
      <c r="AP83" s="4"/>
      <c r="AR83" s="4"/>
      <c r="AT83" s="4"/>
      <c r="AV83" s="4"/>
      <c r="AX83" s="4"/>
      <c r="AZ83" s="4"/>
    </row>
    <row r="84" spans="10:52" x14ac:dyDescent="0.3">
      <c r="J84" s="4"/>
      <c r="L84" s="4"/>
      <c r="N84" s="4"/>
      <c r="P84" s="4"/>
      <c r="R84" s="4"/>
      <c r="T84" s="4"/>
      <c r="V84" s="4"/>
      <c r="X84" s="4"/>
      <c r="Z84" s="4"/>
      <c r="AB84" s="4"/>
      <c r="AD84" s="4"/>
      <c r="AE84" s="4"/>
      <c r="AF84" s="4"/>
      <c r="AH84" s="4"/>
      <c r="AJ84" s="4"/>
      <c r="AL84" s="4"/>
      <c r="AN84" s="4"/>
      <c r="AP84" s="4"/>
      <c r="AR84" s="4"/>
      <c r="AT84" s="4"/>
      <c r="AV84" s="4"/>
      <c r="AX84" s="4"/>
      <c r="AZ84" s="4"/>
    </row>
    <row r="85" spans="10:52" x14ac:dyDescent="0.3">
      <c r="J85" s="4"/>
      <c r="L85" s="4"/>
      <c r="N85" s="4"/>
      <c r="P85" s="4"/>
      <c r="R85" s="4"/>
      <c r="T85" s="4"/>
      <c r="V85" s="4"/>
      <c r="X85" s="4"/>
      <c r="Z85" s="4"/>
      <c r="AB85" s="4"/>
      <c r="AD85" s="4"/>
      <c r="AE85" s="4"/>
      <c r="AF85" s="4"/>
      <c r="AH85" s="4"/>
      <c r="AJ85" s="4"/>
      <c r="AL85" s="4"/>
      <c r="AN85" s="4"/>
      <c r="AP85" s="4"/>
      <c r="AR85" s="4"/>
      <c r="AT85" s="4"/>
      <c r="AV85" s="4"/>
      <c r="AX85" s="4"/>
      <c r="AZ85" s="4"/>
    </row>
    <row r="86" spans="10:52" x14ac:dyDescent="0.3">
      <c r="J86" s="4"/>
      <c r="L86" s="4"/>
      <c r="N86" s="4"/>
      <c r="P86" s="4"/>
      <c r="R86" s="4"/>
      <c r="T86" s="4"/>
      <c r="V86" s="4"/>
      <c r="X86" s="4"/>
      <c r="Z86" s="4"/>
      <c r="AB86" s="4"/>
      <c r="AD86" s="4"/>
      <c r="AE86" s="4"/>
      <c r="AF86" s="4"/>
      <c r="AH86" s="4"/>
      <c r="AJ86" s="4"/>
      <c r="AL86" s="4"/>
      <c r="AN86" s="4"/>
      <c r="AP86" s="4"/>
      <c r="AR86" s="4"/>
      <c r="AT86" s="4"/>
      <c r="AV86" s="4"/>
      <c r="AX86" s="4"/>
      <c r="AZ86" s="4"/>
    </row>
    <row r="87" spans="10:52" x14ac:dyDescent="0.3">
      <c r="J87" s="4"/>
      <c r="L87" s="4"/>
      <c r="N87" s="4"/>
      <c r="P87" s="4"/>
      <c r="R87" s="4"/>
      <c r="T87" s="4"/>
      <c r="V87" s="4"/>
      <c r="X87" s="4"/>
      <c r="Z87" s="4"/>
      <c r="AB87" s="4"/>
      <c r="AD87" s="4"/>
      <c r="AE87" s="4"/>
      <c r="AF87" s="4"/>
      <c r="AH87" s="4"/>
      <c r="AJ87" s="4"/>
      <c r="AL87" s="4"/>
      <c r="AN87" s="4"/>
      <c r="AP87" s="4"/>
      <c r="AR87" s="4"/>
      <c r="AT87" s="4"/>
      <c r="AV87" s="4"/>
      <c r="AX87" s="4"/>
      <c r="AZ87" s="4"/>
    </row>
    <row r="88" spans="10:52" x14ac:dyDescent="0.3">
      <c r="J88" s="4"/>
      <c r="L88" s="4"/>
      <c r="N88" s="4"/>
      <c r="P88" s="4"/>
      <c r="R88" s="4"/>
      <c r="T88" s="4"/>
      <c r="V88" s="4"/>
      <c r="X88" s="4"/>
      <c r="Z88" s="4"/>
      <c r="AB88" s="4"/>
      <c r="AD88" s="4"/>
      <c r="AE88" s="4"/>
      <c r="AF88" s="4"/>
      <c r="AH88" s="4"/>
      <c r="AJ88" s="4"/>
      <c r="AL88" s="4"/>
      <c r="AN88" s="4"/>
      <c r="AP88" s="4"/>
      <c r="AR88" s="4"/>
      <c r="AT88" s="4"/>
      <c r="AV88" s="4"/>
      <c r="AX88" s="4"/>
      <c r="AZ88" s="4"/>
    </row>
    <row r="89" spans="10:52" x14ac:dyDescent="0.3">
      <c r="J89" s="4"/>
      <c r="L89" s="4"/>
      <c r="N89" s="4"/>
      <c r="P89" s="4"/>
      <c r="R89" s="4"/>
      <c r="T89" s="4"/>
      <c r="V89" s="4"/>
      <c r="X89" s="4"/>
      <c r="Z89" s="4"/>
      <c r="AB89" s="4"/>
      <c r="AD89" s="4"/>
      <c r="AE89" s="4"/>
      <c r="AF89" s="4"/>
      <c r="AH89" s="4"/>
      <c r="AJ89" s="4"/>
      <c r="AL89" s="4"/>
      <c r="AN89" s="4"/>
      <c r="AP89" s="4"/>
      <c r="AR89" s="4"/>
      <c r="AT89" s="4"/>
      <c r="AV89" s="4"/>
      <c r="AX89" s="4"/>
      <c r="AZ89" s="4"/>
    </row>
    <row r="90" spans="10:52" x14ac:dyDescent="0.3">
      <c r="J90" s="4"/>
      <c r="L90" s="4"/>
      <c r="N90" s="4"/>
      <c r="P90" s="4"/>
      <c r="R90" s="4"/>
      <c r="T90" s="4"/>
      <c r="V90" s="4"/>
      <c r="X90" s="4"/>
      <c r="Z90" s="4"/>
      <c r="AB90" s="4"/>
      <c r="AD90" s="4"/>
      <c r="AE90" s="4"/>
      <c r="AF90" s="4"/>
      <c r="AH90" s="4"/>
      <c r="AJ90" s="4"/>
      <c r="AL90" s="4"/>
      <c r="AN90" s="4"/>
      <c r="AP90" s="4"/>
      <c r="AR90" s="4"/>
      <c r="AT90" s="4"/>
      <c r="AV90" s="4"/>
      <c r="AX90" s="4"/>
      <c r="AZ90" s="4"/>
    </row>
  </sheetData>
  <mergeCells count="74">
    <mergeCell ref="AZ3:AZ5"/>
    <mergeCell ref="B22:G22"/>
    <mergeCell ref="B24:F24"/>
    <mergeCell ref="B60:G60"/>
    <mergeCell ref="AT3:AT5"/>
    <mergeCell ref="AU3:AU5"/>
    <mergeCell ref="AV3:AV5"/>
    <mergeCell ref="AW3:AW5"/>
    <mergeCell ref="AX3:AX5"/>
    <mergeCell ref="AY3:AY5"/>
    <mergeCell ref="AN3:AN5"/>
    <mergeCell ref="AO3:AO5"/>
    <mergeCell ref="AP3:AP5"/>
    <mergeCell ref="AQ3:AQ5"/>
    <mergeCell ref="AR3:AR5"/>
    <mergeCell ref="AS3:AS5"/>
    <mergeCell ref="AM3:AM5"/>
    <mergeCell ref="AA3:AA5"/>
    <mergeCell ref="AB3:AB5"/>
    <mergeCell ref="AC3:AC5"/>
    <mergeCell ref="AD3:AD5"/>
    <mergeCell ref="AE3:AF3"/>
    <mergeCell ref="AG3:AG5"/>
    <mergeCell ref="AH3:AH5"/>
    <mergeCell ref="AI3:AI5"/>
    <mergeCell ref="AJ3:AJ5"/>
    <mergeCell ref="AK3:AK5"/>
    <mergeCell ref="AL3:AL5"/>
    <mergeCell ref="Z3:Z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BA2:BB2"/>
    <mergeCell ref="BC2:BD2"/>
    <mergeCell ref="C3:C5"/>
    <mergeCell ref="D3:D5"/>
    <mergeCell ref="I3:I5"/>
    <mergeCell ref="J3:J5"/>
    <mergeCell ref="K3:K5"/>
    <mergeCell ref="L3:L5"/>
    <mergeCell ref="M3:M5"/>
    <mergeCell ref="N3:N5"/>
    <mergeCell ref="AO2:AP2"/>
    <mergeCell ref="AQ2:AR2"/>
    <mergeCell ref="AS2:AT2"/>
    <mergeCell ref="AU2:AV2"/>
    <mergeCell ref="AW2:AX2"/>
    <mergeCell ref="AY2:AZ2"/>
    <mergeCell ref="AM2:AN2"/>
    <mergeCell ref="O2:P2"/>
    <mergeCell ref="Q2:R2"/>
    <mergeCell ref="S2:T2"/>
    <mergeCell ref="U2:V2"/>
    <mergeCell ref="W2:X2"/>
    <mergeCell ref="Y2:Z2"/>
    <mergeCell ref="AA2:AB2"/>
    <mergeCell ref="AC2:AD2"/>
    <mergeCell ref="AG2:AH2"/>
    <mergeCell ref="AI2:AJ2"/>
    <mergeCell ref="AK2:AL2"/>
    <mergeCell ref="M2:N2"/>
    <mergeCell ref="A2:A5"/>
    <mergeCell ref="B2:B5"/>
    <mergeCell ref="C2:H2"/>
    <mergeCell ref="I2:J2"/>
    <mergeCell ref="K2:L2"/>
  </mergeCells>
  <dataValidations count="1">
    <dataValidation type="whole" allowBlank="1" showInputMessage="1" showErrorMessage="1" errorTitle="EDU" error="Utilice Números Enteros" promptTitle="EDU" prompt="Utilice Números Enteros" sqref="E8:E21" xr:uid="{00000000-0002-0000-0100-000000000000}">
      <formula1>0</formula1>
      <formula2>900000000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adicion 2</vt:lpstr>
      <vt:lpstr>adicion (2)</vt:lpstr>
      <vt:lpstr>'adicion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BERNAL</dc:creator>
  <cp:lastModifiedBy>JOSE FERNANDO PENAGOS</cp:lastModifiedBy>
  <cp:lastPrinted>2022-03-11T15:25:43Z</cp:lastPrinted>
  <dcterms:created xsi:type="dcterms:W3CDTF">2021-08-04T22:03:16Z</dcterms:created>
  <dcterms:modified xsi:type="dcterms:W3CDTF">2022-03-18T19:41:36Z</dcterms:modified>
</cp:coreProperties>
</file>