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18000040043 - Ajuste N°3 Vias terciarias Urabá\Documentos aprobación ajuste N°3 - 2018000040043\Anexos ajuste N°3 - 2018000040043\"/>
    </mc:Choice>
  </mc:AlternateContent>
  <xr:revisionPtr revIDLastSave="0" documentId="13_ncr:1_{5E522C10-99D0-4D67-BFBB-6BD5F319BC33}" xr6:coauthVersionLast="47" xr6:coauthVersionMax="47" xr10:uidLastSave="{00000000-0000-0000-0000-000000000000}"/>
  <bookViews>
    <workbookView xWindow="-108" yWindow="-108" windowWidth="23256" windowHeight="12576" xr2:uid="{F928AFD7-A3BE-485B-8049-DD96A1E934A5}"/>
  </bookViews>
  <sheets>
    <sheet name="BALANCE CANTIDADES" sheetId="1" r:id="rId1"/>
    <sheet name="Hoja3" sheetId="4" state="hidden" r:id="rId2"/>
    <sheet name="Hoja4" sheetId="5" state="hidden" r:id="rId3"/>
    <sheet name="Hoja2" sheetId="3" state="hidden" r:id="rId4"/>
    <sheet name="Hoja1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#REF!</definedName>
    <definedName name="_xlnm._FilterDatabase" localSheetId="0" hidden="1">'BALANCE CANTIDADES'!$C$1:$C$288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"C:\C-314\VOLUMENES\volfin4.mdb"</definedName>
    <definedName name="Acero_60.000_psi__incluye_figurada">[1]Insumos!$D$4</definedName>
    <definedName name="Administración" localSheetId="0">#REF!</definedName>
    <definedName name="Administración">#REF!</definedName>
    <definedName name="Agua" localSheetId="0">[2]Insumos!$D$15</definedName>
    <definedName name="Agua">[1]Insumos!$D$15</definedName>
    <definedName name="Alambre_negro_no._18">[1]Insumos!$D$5</definedName>
    <definedName name="_xlnm.Print_Area" localSheetId="0">'BALANCE CANTIDADES'!$A$1:$U$273</definedName>
    <definedName name="Arena_fina" localSheetId="0">[2]Insumos!$D$6</definedName>
    <definedName name="Arena_fina">[1]Insumos!$D$6</definedName>
    <definedName name="Arena_lavada_de_peña" localSheetId="0">[2]Insumos!$D$7</definedName>
    <definedName name="Arena_lavada_de_peña">[1]Insumos!$D$7</definedName>
    <definedName name="Asfalto">[3]Insumos!$D$11</definedName>
    <definedName name="ayudante" localSheetId="0">[2]CUADRILLAS!$C$8</definedName>
    <definedName name="ayudante">[1]CUADRILLAS!$C$8</definedName>
    <definedName name="Barreras_plasticas_de_Aproximación__Maletines_tipo_Newjersy__o_similar" localSheetId="0">[2]Insumos!$D$24</definedName>
    <definedName name="Barreras_plasticas_de_Aproximación__Maletines_tipo_Newjersy__o_similar">[1]Insumos!$D$24</definedName>
    <definedName name="Base_granular">[3]Insumos!$D$9</definedName>
    <definedName name="Bordillo_prefabricado__L_80_cm__h__35_cm__b__20_cm">[3]Insumos!#REF!</definedName>
    <definedName name="cade" localSheetId="0">[2]CUADRILLAS!$B$12</definedName>
    <definedName name="cade">[1]CUADRILLAS!$B$12</definedName>
    <definedName name="camioneta" localSheetId="0">'[2]Equipo y transporte'!$D$26</definedName>
    <definedName name="camioneta">'[1]Equipo y transporte'!$D$26</definedName>
    <definedName name="Camioneta_D_300" localSheetId="0">'[2]Equipo y transporte'!$D$24</definedName>
    <definedName name="Camioneta_D_300">'[1]Equipo y transporte'!$D$24</definedName>
    <definedName name="Carrotanque_1000_gl">'[1]Equipo y transporte'!$D$16</definedName>
    <definedName name="Carrotanque_Irrigador_de_asfalto__1000_GALONES_DE_CAPACIDAD">'[3]Equipo y transporte'!$D$23</definedName>
    <definedName name="Cemento_gris__Inlcuye_tranporte_interno_en_obra_cargue_y_descargue" localSheetId="0">[2]Insumos!$D$11</definedName>
    <definedName name="Cemento_gris__Inlcuye_tranporte_interno_en_obra_cargue_y_descargue">[1]Insumos!$D$11</definedName>
    <definedName name="Chaleco_Reflectivo" localSheetId="0">[2]Insumos!$D$36</definedName>
    <definedName name="Chaleco_Reflectivo">[1]Insumos!$D$36</definedName>
    <definedName name="Cinta_Plastica__PELIGRO_NO_PASE" localSheetId="0">[2]Insumos!$D$25</definedName>
    <definedName name="Cinta_Plastica__PELIGRO_NO_PASE">[1]Insumos!$D$25</definedName>
    <definedName name="Compactador_de_Rodillo_POTENCIA__99HP__PESO__8_ton">'[3]Equipo y transporte'!$D$22</definedName>
    <definedName name="Compactador_neumático_de_Potencia_70_HP__peso_de_13_ton">'[3]Equipo y transporte'!$D$21</definedName>
    <definedName name="Compresor__barrido_y_soplado">'[3]Equipo y transporte'!$D$24</definedName>
    <definedName name="concreto_2000_apartado">'[3]Concretos y morteros'!$G$302</definedName>
    <definedName name="concreto_2000_arboletes">'[3]Concretos y morteros'!$G$580</definedName>
    <definedName name="concreto_2000_carepa">'[3]Concretos y morteros'!$G$820</definedName>
    <definedName name="concreto_2000_chigorodo">'[3]Concretos y morteros'!$G$1062</definedName>
    <definedName name="concreto_2000_mutata">'[3]Concretos y morteros'!$G$1304</definedName>
    <definedName name="concreto_2000_necocli">'[3]Concretos y morteros'!$G$1546</definedName>
    <definedName name="concreto_2000_sanjuan">'[3]Concretos y morteros'!$G$1788</definedName>
    <definedName name="concreto_2000_sanpedro">'[3]Concretos y morteros'!$G$2030</definedName>
    <definedName name="concreto_2000_turbo">'[3]Concretos y morteros'!$G$2272</definedName>
    <definedName name="concreto_2500_apartado">'[3]Concretos y morteros'!$G$257</definedName>
    <definedName name="concreto_2500_arboletes">'[3]Concretos y morteros'!$G$542</definedName>
    <definedName name="concreto_2500_carepa">'[3]Concretos y morteros'!$G$782</definedName>
    <definedName name="concreto_2500_chigorodo">'[3]Concretos y morteros'!$G$1024</definedName>
    <definedName name="concreto_2500_mutata">'[3]Concretos y morteros'!$G$1266</definedName>
    <definedName name="concreto_2500_necocli">'[3]Concretos y morteros'!$G$1508</definedName>
    <definedName name="concreto_2500_sanjuan">'[3]Concretos y morteros'!$G$1750</definedName>
    <definedName name="concreto_2500_sanpedro">'[3]Concretos y morteros'!$G$1992</definedName>
    <definedName name="concreto_2500_turbo">'[3]Concretos y morteros'!$G$2234</definedName>
    <definedName name="Concreto_3000_Apartado">'[3]Concretos y morteros'!$G$213</definedName>
    <definedName name="concreto_3000_arboletes">'[3]Concretos y morteros'!$G$505</definedName>
    <definedName name="concreto_3000_carepa">'[3]Concretos y morteros'!$G$745</definedName>
    <definedName name="concreto_3000_chigorodo">'[3]Concretos y morteros'!$G$987</definedName>
    <definedName name="concreto_3000_mutata">'[3]Concretos y morteros'!$G$1229</definedName>
    <definedName name="concreto_3000_necocli">'[3]Concretos y morteros'!$G$1471</definedName>
    <definedName name="concreto_3000_sanjuan">'[3]Concretos y morteros'!$G$1713</definedName>
    <definedName name="concreto_3000_sanpedro">'[3]Concretos y morteros'!$G$1955</definedName>
    <definedName name="concreto_3000_turbo">'[3]Concretos y morteros'!$G$2197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[2]Insumos!$D$23</definedName>
    <definedName name="Delineadores_tubulares__Colombinas">[1]Insumos!$D$23</definedName>
    <definedName name="Director_de_obra" localSheetId="0">[2]CUADRILLAS!$B$16</definedName>
    <definedName name="Director_de_obra">[1]CUADRILLAS!$B$16</definedName>
    <definedName name="DIS_ASFAL_SANJUAN">'[3]Concretos y morteros'!$B$1566</definedName>
    <definedName name="Disco_abrasivo_corte_de_metal_14">[1]Insumos!$D$16</definedName>
    <definedName name="Disolvente_para_pintura__trafíco__acrílico">[3]Insumos!$D$51</definedName>
    <definedName name="DIST_ASFAL_NECO">'[3]Concretos y morteros'!$B$1324</definedName>
    <definedName name="dist_can_arb">'[1]Concretos y morteros'!$J$6</definedName>
    <definedName name="dist_can_car">'[1]Concretos y morteros'!$J$7</definedName>
    <definedName name="dist_can_chi">'[1]Concretos y morteros'!$J$8</definedName>
    <definedName name="dist_can_ju">'[1]Concretos y morteros'!$J$11</definedName>
    <definedName name="dist_can_mut">'[1]Concretos y morteros'!$J$9</definedName>
    <definedName name="dist_can_nec">'[1]Concretos y morteros'!$J$10</definedName>
    <definedName name="dist_can_ped">'[1]Concretos y morteros'!$J$12</definedName>
    <definedName name="dist_can_tur">'[1]Concretos y morteros'!$J$13</definedName>
    <definedName name="dist_cant_Ap">'[1]Concretos y morteros'!$J$5</definedName>
    <definedName name="dist_esc_apa">'[1]Concretos y morteros'!$K$5</definedName>
    <definedName name="dist_esc_arb">'[1]Concretos y morteros'!$K$6</definedName>
    <definedName name="dist_esc_car">'[1]Concretos y morteros'!$K$7</definedName>
    <definedName name="dist_esc_chi">'[1]Concretos y morteros'!$K$8</definedName>
    <definedName name="dist_esc_jua">'[1]Concretos y morteros'!$K$11</definedName>
    <definedName name="dist_esc_mut">'[1]Concretos y morteros'!$K$9</definedName>
    <definedName name="dist_esc_nec">'[1]Concretos y morteros'!$K$10</definedName>
    <definedName name="dist_esc_ped">'[1]Concretos y morteros'!$K$12</definedName>
    <definedName name="dist_esc_tur">'[1]Concretos y morteros'!$K$13</definedName>
    <definedName name="DISTANCIA_BOTADERO_carepa">'[3]Concretos y morteros'!$B$599</definedName>
    <definedName name="DISTANCIA_CANTERA_APARTADOR">'[3]Concretos y morteros'!$B$12</definedName>
    <definedName name="DISTANCIA_CANTERA_ARBOLETES">'[3]Concretos y morteros'!$B$318</definedName>
    <definedName name="DISTANCIA_CANTERA_CAREPA">'[3]Concretos y morteros'!$B$596</definedName>
    <definedName name="DISTANCIA_CANTERA_CHIGORODO">'[3]Concretos y morteros'!$B$838</definedName>
    <definedName name="DISTANCIA_CANTERA_MUTATA">'[3]Concretos y morteros'!$B$1079</definedName>
    <definedName name="DISTANCIA_CANTERA_NECOCLI">'[3]Concretos y morteros'!$B$1322</definedName>
    <definedName name="DISTANCIA_CANTERA_SAN_JUAN">'[3]Concretos y morteros'!$B$1564</definedName>
    <definedName name="DISTANCIA_CANTERA_SAN_PEDRO">'[3]Concretos y morteros'!$B$1806</definedName>
    <definedName name="DISTANCIA_CANTERA_TURBO">'[3]Concretos y morteros'!$B$2048</definedName>
    <definedName name="DISTANCIA_ESCOMBRERA_apartado">'[3]Concretos y morteros'!$B$15</definedName>
    <definedName name="DISTANCIA_ESCOMBRERA_arboletes">'[3]Concretos y morteros'!$B$321</definedName>
    <definedName name="DISTANCIA_ESCOMBRERA_CHIGORODO">'[3]Concretos y morteros'!$B$841</definedName>
    <definedName name="DISTANCIA_ESCOMBRERA_MUTATA">'[3]Concretos y morteros'!$B$1082</definedName>
    <definedName name="DISTANCIA_ESCOMBRERA_NECOCLI">'[3]Concretos y morteros'!$B$1325</definedName>
    <definedName name="DISTANCIA_ESCOMBRERA_SANJUANDEURABA">'[3]Concretos y morteros'!$B$1567</definedName>
    <definedName name="DISTANCIA_ESCOMBRERA_SANPEDRO">'[3]Concretos y morteros'!$B$1809</definedName>
    <definedName name="DISTANCIA_ESCOMBRERA_TURBO">'[3]Concretos y morteros'!$B$2051</definedName>
    <definedName name="DISTANCIA_PLANTA_ASFALTO">'[3]Concretos y morteros'!$B$320</definedName>
    <definedName name="Durmiente_ordinario_2__2">[3]Insumos!#REF!</definedName>
    <definedName name="Emulsión_CRR_1">[3]Insumos!$D$12</definedName>
    <definedName name="Esferas_Reflectivas">[3]Insumos!$D$49</definedName>
    <definedName name="factmas2smlv">'[3]Factor Prestacionas para aiu'!$C$30+1</definedName>
    <definedName name="FACTOR_PRESTACIONAL_1sml">'[4]Factor Prestacionas para aiu'!$B$30+1</definedName>
    <definedName name="Flasher_luminoso_para_barricadas" localSheetId="0">[2]Insumos!$D$26</definedName>
    <definedName name="Flasher_luminoso_para_barricadas">[1]Insumos!$D$26</definedName>
    <definedName name="formaleta_madera">'[1]Equipo y transporte'!$D$14</definedName>
    <definedName name="Grava" localSheetId="0">[2]Insumos!$D$8</definedName>
    <definedName name="Grava">[1]Insumos!$D$8</definedName>
    <definedName name="Imprevistos" localSheetId="0">#REF!</definedName>
    <definedName name="Imprevistos">#REF!</definedName>
    <definedName name="interventoria_2" localSheetId="0" hidden="1">#REF!</definedName>
    <definedName name="interventoria_2" hidden="1">#REF!</definedName>
    <definedName name="KO" hidden="1">#REF!</definedName>
    <definedName name="Laboratorio">#REF!</definedName>
    <definedName name="Limpiador_PVC_x_1_4_de_galón">[3]Insumos!#REF!</definedName>
    <definedName name="Maestro">'[3]Factor Prestacionas para aiu'!#REF!</definedName>
    <definedName name="Maestro_de_Obra" localSheetId="0">[2]CUADRILLAS!$B$13</definedName>
    <definedName name="Maestro_de_Obra">[1]CUADRILLAS!$B$13</definedName>
    <definedName name="Malla_electrosoldada_de_8.5_mm_cada_15_cm">[3]Insumos!#REF!</definedName>
    <definedName name="materiales">[5]MATERIALES!$B$6:$D$403</definedName>
    <definedName name="Mezcladora_trompo_a_gasolina__Inc._combustible" localSheetId="0">'[2]Equipo y transporte'!$D$19</definedName>
    <definedName name="Mezcladora_trompo_a_gasolina__Inc._combustible">'[1]Equipo y transporte'!$D$19</definedName>
    <definedName name="mortero1_3_apartado">'[3]Concretos y morteros'!$G$76</definedName>
    <definedName name="mortero1_3_arboletes">'[3]Concretos y morteros'!$G$392</definedName>
    <definedName name="mortero1_3_carepa">'[3]Concretos y morteros'!$G$633</definedName>
    <definedName name="mortero1_3_chigorodo">'[3]Concretos y morteros'!$G$875</definedName>
    <definedName name="mortero1_3_mutata">'[3]Concretos y morteros'!$G$1116</definedName>
    <definedName name="mortero1_3_necocli">'[3]Concretos y morteros'!$G$1359</definedName>
    <definedName name="mortero1_3_sanjuan">'[3]Concretos y morteros'!$G$1601</definedName>
    <definedName name="mortero1_3_sanpedro">'[3]Concretos y morteros'!$G$1843</definedName>
    <definedName name="mortero1_3_turbo">'[3]Concretos y morteros'!$G$2085</definedName>
    <definedName name="municipios">[6]PRESU!$A$4:$B$266</definedName>
    <definedName name="oficial" localSheetId="0">[2]CUADRILLAS!$C$9</definedName>
    <definedName name="oficial">[1]CUADRILLAS!$C$9</definedName>
    <definedName name="Pintura_Acrílica_pura_para_tráfico">[3]Insumos!$D$50</definedName>
    <definedName name="Pitos_para_auxiliares_de_tránsito" localSheetId="0">[2]Insumos!$D$45</definedName>
    <definedName name="Pitos_para_auxiliares_de_tránsito">[1]Insumos!$D$45</definedName>
    <definedName name="Planta_Electrica__Diesel_Gasolina" localSheetId="0">'[2]Equipo y transporte'!$D$29</definedName>
    <definedName name="Planta_Electrica__Diesel_Gasolina">'[1]Equipo y transporte'!$D$29</definedName>
    <definedName name="Poste_en_angulo_de_2_2_1_4_de_3_5m_para_señal">[1]Insumos!$D$19</definedName>
    <definedName name="Prestaciones_1" localSheetId="0">#REF!</definedName>
    <definedName name="Prestaciones_1">#REF!</definedName>
    <definedName name="Prestaciones_2" localSheetId="0">#REF!</definedName>
    <definedName name="Prestaciones_2">#REF!</definedName>
    <definedName name="Print_Area" localSheetId="0">'BALANCE CANTIDADES'!$A:$I</definedName>
    <definedName name="proyecto" localSheetId="0">#REF!</definedName>
    <definedName name="proyecto">#REF!</definedName>
    <definedName name="Rajón_de_piedra_del_municipio">[1]Insumos!$D$10</definedName>
    <definedName name="Rastrillero">[3]CUADRILLAS!$C$8</definedName>
    <definedName name="rendimiento_acero">'[2]APU OE-3'!#REF!</definedName>
    <definedName name="rendimientoconph">'[2]APU OE-3'!#REF!</definedName>
    <definedName name="Residente_de_Tráfico">[3]CUADRILLAS!#REF!</definedName>
    <definedName name="Retroexcavadora_de_llantas">'[1]Equipo y transporte'!$D$20</definedName>
    <definedName name="Rodillo_vibrante_tanden_autopropulsado_anchura_de_trabajo_100_cm">'[3]Equipo y transporte'!#REF!</definedName>
    <definedName name="Secretaria" localSheetId="0">[2]CUADRILLAS!$B$26</definedName>
    <definedName name="Secretaria">[1]CUADRILLAS!$B$26</definedName>
    <definedName name="Señal__grupo_1_._Tablero_en_lámina_galvanizada_de_75cm_75cm__calibre_16__reflectivo_tipo_1__incluye_poste" localSheetId="0">[2]Insumos!$D$20</definedName>
    <definedName name="Señal__grupo_1_._Tablero_en_lámina_galvanizada_de_75cm_75cm__calibre_16__reflectivo_tipo_1__incluye_poste">[1]Insumos!$D$20</definedName>
    <definedName name="SIO_03_Fin_de_Obra">[3]Insumos!$D$36</definedName>
    <definedName name="SIO_07_Desvio">[3]Insumos!$D$37</definedName>
    <definedName name="SIO_24_Peatones">[3]Insumos!$D$38</definedName>
    <definedName name="smlv" localSheetId="0">#REF!</definedName>
    <definedName name="smlv">#REF!</definedName>
    <definedName name="Soldadura_PVC_wet_bonding_1_8_galón">[3]Insumos!#REF!</definedName>
    <definedName name="SPO_01_Trabajadores_en_la_via">[3]Insumos!$D$31</definedName>
    <definedName name="SPO_02_Maquinaria_en_la_via">[3]Insumos!$D$32</definedName>
    <definedName name="SPO_03_Auxiliar_de_Transito">[3]Insumos!$D$33</definedName>
    <definedName name="SRO_03_pare_siga">[3]Insumos!$D$35</definedName>
    <definedName name="SRO_03_Uno_a_Uno">[3]Insumos!$D$34</definedName>
    <definedName name="SUBBASEPXCOMPACTACION">'[2]APU OE-3'!#REF!</definedName>
    <definedName name="Subbse_Granular">[1]Insumos!$D$9</definedName>
    <definedName name="Terminadora_de_asfalto__Finisher___potencia_en_el_volante_174_HP__R_20M3_H__velocidad_de_desplazamiento_114_m_min">'[3]Equipo y transporte'!$D$20</definedName>
    <definedName name="_xlnm.Print_Titles" localSheetId="0">'BALANCE CANTIDADES'!$3:$4</definedName>
    <definedName name="Topo" localSheetId="0">[2]CUADRILLAS!$B$11</definedName>
    <definedName name="Topo">[1]CUADRILLAS!$B$11</definedName>
    <definedName name="TORNILLO_ACERO_3_8__3__AF_GRADO_5__TUERCA_ARANDELA">[3]Insumos!#REF!</definedName>
    <definedName name="Transporte_volco" localSheetId="0">'[2]Equipo y transporte'!$D$18</definedName>
    <definedName name="Transporte_volco">'[1]Equipo y transporte'!$D$18</definedName>
    <definedName name="Tubería_PVC_alcantarillado_36___Inc.Transporte">[1]Insumos!$D$17</definedName>
    <definedName name="Tubo_rectangular_100x40x1.5_mm" localSheetId="0">[2]Insumos!$D$48</definedName>
    <definedName name="Tubo_rectangular_100x40x1.5_mm">[1]Insumos!$D$48</definedName>
    <definedName name="Utilidad" localSheetId="0">#REF!</definedName>
    <definedName name="Utilidad">#REF!</definedName>
    <definedName name="Vehiculo__Tipo_pickup" localSheetId="0">#REF!</definedName>
    <definedName name="Vehiculo__Tipo_pickup">#REF!</definedName>
    <definedName name="Vehiculo_delineador">'[3]Equipo y transporte'!$D$26</definedName>
    <definedName name="Vibrador_a_gasolina">'[1]Equipo y transporte'!$D$11</definedName>
    <definedName name="vibrocompactador_de_8_t.">'[1]Equipo y transporte'!$D$12</definedName>
    <definedName name="Volqueta__6m³__cargue_manual__botadero_adicional_mayor_20_km">'[3]Equipo y transporte'!#REF!</definedName>
    <definedName name="Volqueta_6_m³__cargue_manual__botadero_hasta_20_km">'[3]Equipo y transporte'!#REF!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5" i="1" l="1"/>
  <c r="T244" i="1"/>
  <c r="D266" i="1" l="1"/>
  <c r="C4" i="3" l="1"/>
  <c r="I61" i="5" l="1"/>
  <c r="I62" i="5"/>
  <c r="I60" i="5"/>
  <c r="AB6" i="1" l="1"/>
  <c r="AC6" i="1" s="1"/>
  <c r="AB10" i="1"/>
  <c r="AC10" i="1" s="1"/>
  <c r="AB8" i="1"/>
  <c r="AC8" i="1" s="1"/>
  <c r="AB7" i="1"/>
  <c r="AC7" i="1" s="1"/>
  <c r="T242" i="1" l="1"/>
  <c r="AE10" i="1" s="1"/>
  <c r="T241" i="1"/>
  <c r="AE8" i="1" s="1"/>
  <c r="T240" i="1"/>
  <c r="AE7" i="1" s="1"/>
  <c r="AE9" i="1"/>
  <c r="O243" i="1" l="1"/>
  <c r="AB9" i="1" l="1"/>
  <c r="AC9" i="1" s="1"/>
  <c r="S108" i="1"/>
  <c r="S99" i="1"/>
  <c r="S100" i="1"/>
  <c r="S101" i="1"/>
  <c r="S103" i="1"/>
  <c r="S104" i="1"/>
  <c r="S105" i="1"/>
  <c r="S106" i="1"/>
  <c r="S98" i="1"/>
  <c r="S88" i="1"/>
  <c r="S89" i="1"/>
  <c r="S90" i="1"/>
  <c r="S92" i="1"/>
  <c r="S93" i="1"/>
  <c r="S94" i="1"/>
  <c r="S95" i="1"/>
  <c r="S225" i="1" l="1"/>
  <c r="S226" i="1"/>
  <c r="S227" i="1"/>
  <c r="S228" i="1"/>
  <c r="S229" i="1"/>
  <c r="S230" i="1"/>
  <c r="S231" i="1"/>
  <c r="S232" i="1"/>
  <c r="S224" i="1"/>
  <c r="S222" i="1"/>
  <c r="S221" i="1"/>
  <c r="S220" i="1"/>
  <c r="S219" i="1"/>
  <c r="S218" i="1"/>
  <c r="S217" i="1"/>
  <c r="S216" i="1"/>
  <c r="S215" i="1"/>
  <c r="S213" i="1"/>
  <c r="S212" i="1"/>
  <c r="S210" i="1"/>
  <c r="S208" i="1"/>
  <c r="S207" i="1"/>
  <c r="S205" i="1"/>
  <c r="S203" i="1"/>
  <c r="S201" i="1"/>
  <c r="S200" i="1"/>
  <c r="S198" i="1"/>
  <c r="S197" i="1"/>
  <c r="S196" i="1"/>
  <c r="S194" i="1"/>
  <c r="S193" i="1"/>
  <c r="S192" i="1"/>
  <c r="S191" i="1"/>
  <c r="R232" i="1"/>
  <c r="R231" i="1"/>
  <c r="R230" i="1"/>
  <c r="R229" i="1"/>
  <c r="R228" i="1"/>
  <c r="R227" i="1"/>
  <c r="R226" i="1"/>
  <c r="R225" i="1"/>
  <c r="R224" i="1"/>
  <c r="R216" i="1"/>
  <c r="R213" i="1"/>
  <c r="R212" i="1"/>
  <c r="R210" i="1"/>
  <c r="R209" i="1" s="1"/>
  <c r="R208" i="1"/>
  <c r="R207" i="1"/>
  <c r="R205" i="1"/>
  <c r="R204" i="1" s="1"/>
  <c r="R203" i="1"/>
  <c r="R202" i="1" s="1"/>
  <c r="R201" i="1"/>
  <c r="R200" i="1"/>
  <c r="R198" i="1"/>
  <c r="R197" i="1"/>
  <c r="R196" i="1"/>
  <c r="R194" i="1"/>
  <c r="R193" i="1"/>
  <c r="R192" i="1"/>
  <c r="R191" i="1"/>
  <c r="S181" i="1"/>
  <c r="S182" i="1"/>
  <c r="S183" i="1"/>
  <c r="S184" i="1"/>
  <c r="S185" i="1"/>
  <c r="S186" i="1"/>
  <c r="S187" i="1"/>
  <c r="S188" i="1"/>
  <c r="S180" i="1"/>
  <c r="S119" i="1"/>
  <c r="S123" i="1"/>
  <c r="S124" i="1"/>
  <c r="S125" i="1"/>
  <c r="S129" i="1"/>
  <c r="S133" i="1"/>
  <c r="S134" i="1"/>
  <c r="S135" i="1"/>
  <c r="S136" i="1"/>
  <c r="S139" i="1"/>
  <c r="S143" i="1"/>
  <c r="S144" i="1"/>
  <c r="S145" i="1"/>
  <c r="S146" i="1"/>
  <c r="S149" i="1"/>
  <c r="S150" i="1"/>
  <c r="S151" i="1"/>
  <c r="S152" i="1"/>
  <c r="S153" i="1"/>
  <c r="S154" i="1"/>
  <c r="S155" i="1"/>
  <c r="S156" i="1"/>
  <c r="S159" i="1"/>
  <c r="S160" i="1"/>
  <c r="S161" i="1"/>
  <c r="S163" i="1"/>
  <c r="S164" i="1"/>
  <c r="S165" i="1"/>
  <c r="S166" i="1"/>
  <c r="S170" i="1"/>
  <c r="S171" i="1"/>
  <c r="S172" i="1"/>
  <c r="S174" i="1"/>
  <c r="S175" i="1"/>
  <c r="S176" i="1"/>
  <c r="S177" i="1"/>
  <c r="S169" i="1"/>
  <c r="S158" i="1"/>
  <c r="S148" i="1"/>
  <c r="S138" i="1"/>
  <c r="S128" i="1"/>
  <c r="S118" i="1"/>
  <c r="R119" i="1"/>
  <c r="R120" i="1"/>
  <c r="R121" i="1"/>
  <c r="R122" i="1"/>
  <c r="R123" i="1"/>
  <c r="R124" i="1"/>
  <c r="R125" i="1"/>
  <c r="R126" i="1"/>
  <c r="R129" i="1"/>
  <c r="R130" i="1"/>
  <c r="R131" i="1"/>
  <c r="R132" i="1"/>
  <c r="R133" i="1"/>
  <c r="R134" i="1"/>
  <c r="R135" i="1"/>
  <c r="R136" i="1"/>
  <c r="R139" i="1"/>
  <c r="R140" i="1"/>
  <c r="R141" i="1"/>
  <c r="R142" i="1"/>
  <c r="R143" i="1"/>
  <c r="R144" i="1"/>
  <c r="R145" i="1"/>
  <c r="R146" i="1"/>
  <c r="R149" i="1"/>
  <c r="R150" i="1"/>
  <c r="R151" i="1"/>
  <c r="R152" i="1"/>
  <c r="R153" i="1"/>
  <c r="R154" i="1"/>
  <c r="R155" i="1"/>
  <c r="R156" i="1"/>
  <c r="R159" i="1"/>
  <c r="R160" i="1"/>
  <c r="R161" i="1"/>
  <c r="R162" i="1"/>
  <c r="R163" i="1"/>
  <c r="R164" i="1"/>
  <c r="R165" i="1"/>
  <c r="R166" i="1"/>
  <c r="R170" i="1"/>
  <c r="R171" i="1"/>
  <c r="R172" i="1"/>
  <c r="R173" i="1"/>
  <c r="R174" i="1"/>
  <c r="R175" i="1"/>
  <c r="R176" i="1"/>
  <c r="R177" i="1"/>
  <c r="R181" i="1"/>
  <c r="R182" i="1"/>
  <c r="R183" i="1"/>
  <c r="R184" i="1"/>
  <c r="R185" i="1"/>
  <c r="R186" i="1"/>
  <c r="R187" i="1"/>
  <c r="R188" i="1"/>
  <c r="R180" i="1"/>
  <c r="R169" i="1"/>
  <c r="R158" i="1"/>
  <c r="R148" i="1"/>
  <c r="R138" i="1"/>
  <c r="R128" i="1"/>
  <c r="R118" i="1"/>
  <c r="R116" i="1"/>
  <c r="S109" i="1"/>
  <c r="S110" i="1"/>
  <c r="S111" i="1"/>
  <c r="S113" i="1"/>
  <c r="S114" i="1"/>
  <c r="S115" i="1"/>
  <c r="S116" i="1"/>
  <c r="R109" i="1"/>
  <c r="R110" i="1"/>
  <c r="R111" i="1"/>
  <c r="R112" i="1"/>
  <c r="R113" i="1"/>
  <c r="R114" i="1"/>
  <c r="R115" i="1"/>
  <c r="R108" i="1"/>
  <c r="R99" i="1"/>
  <c r="R100" i="1"/>
  <c r="R101" i="1"/>
  <c r="R102" i="1"/>
  <c r="R103" i="1"/>
  <c r="R104" i="1"/>
  <c r="R105" i="1"/>
  <c r="R106" i="1"/>
  <c r="R98" i="1"/>
  <c r="S87" i="1"/>
  <c r="R88" i="1"/>
  <c r="R89" i="1"/>
  <c r="R90" i="1"/>
  <c r="R91" i="1"/>
  <c r="R92" i="1"/>
  <c r="R93" i="1"/>
  <c r="R94" i="1"/>
  <c r="R95" i="1"/>
  <c r="R87" i="1"/>
  <c r="S78" i="1"/>
  <c r="S79" i="1"/>
  <c r="S80" i="1"/>
  <c r="S82" i="1"/>
  <c r="S83" i="1"/>
  <c r="S84" i="1"/>
  <c r="S85" i="1"/>
  <c r="S77" i="1"/>
  <c r="R78" i="1"/>
  <c r="R79" i="1"/>
  <c r="R80" i="1"/>
  <c r="R81" i="1"/>
  <c r="R82" i="1"/>
  <c r="R83" i="1"/>
  <c r="R84" i="1"/>
  <c r="R85" i="1"/>
  <c r="R77" i="1"/>
  <c r="R68" i="1"/>
  <c r="R69" i="1"/>
  <c r="R70" i="1"/>
  <c r="R71" i="1"/>
  <c r="R72" i="1"/>
  <c r="R73" i="1"/>
  <c r="R74" i="1"/>
  <c r="R75" i="1"/>
  <c r="R67" i="1"/>
  <c r="S58" i="1"/>
  <c r="S62" i="1"/>
  <c r="S63" i="1"/>
  <c r="S64" i="1"/>
  <c r="S65" i="1"/>
  <c r="S57" i="1"/>
  <c r="R58" i="1"/>
  <c r="R59" i="1"/>
  <c r="R60" i="1"/>
  <c r="R61" i="1"/>
  <c r="R62" i="1"/>
  <c r="R63" i="1"/>
  <c r="R64" i="1"/>
  <c r="R65" i="1"/>
  <c r="R57" i="1"/>
  <c r="S48" i="1"/>
  <c r="S49" i="1"/>
  <c r="S50" i="1"/>
  <c r="S52" i="1"/>
  <c r="S53" i="1"/>
  <c r="S54" i="1"/>
  <c r="S55" i="1"/>
  <c r="S47" i="1"/>
  <c r="R48" i="1"/>
  <c r="R49" i="1"/>
  <c r="R50" i="1"/>
  <c r="R51" i="1"/>
  <c r="R52" i="1"/>
  <c r="R53" i="1"/>
  <c r="R54" i="1"/>
  <c r="R55" i="1"/>
  <c r="R47" i="1"/>
  <c r="R41" i="1"/>
  <c r="S38" i="1"/>
  <c r="S39" i="1"/>
  <c r="S40" i="1"/>
  <c r="S42" i="1"/>
  <c r="S43" i="1"/>
  <c r="S44" i="1"/>
  <c r="S45" i="1"/>
  <c r="R38" i="1"/>
  <c r="R39" i="1"/>
  <c r="R40" i="1"/>
  <c r="R42" i="1"/>
  <c r="R43" i="1"/>
  <c r="R44" i="1"/>
  <c r="R45" i="1"/>
  <c r="S37" i="1"/>
  <c r="R37" i="1"/>
  <c r="S28" i="1"/>
  <c r="S29" i="1"/>
  <c r="S30" i="1"/>
  <c r="S31" i="1"/>
  <c r="S32" i="1"/>
  <c r="S33" i="1"/>
  <c r="S34" i="1"/>
  <c r="S35" i="1"/>
  <c r="R28" i="1"/>
  <c r="R29" i="1"/>
  <c r="R30" i="1"/>
  <c r="R31" i="1"/>
  <c r="R32" i="1"/>
  <c r="R33" i="1"/>
  <c r="R34" i="1"/>
  <c r="R35" i="1"/>
  <c r="R27" i="1"/>
  <c r="S27" i="1"/>
  <c r="S18" i="1"/>
  <c r="S19" i="1"/>
  <c r="S20" i="1"/>
  <c r="S21" i="1"/>
  <c r="S22" i="1"/>
  <c r="S23" i="1"/>
  <c r="S24" i="1"/>
  <c r="S25" i="1"/>
  <c r="S17" i="1"/>
  <c r="R18" i="1"/>
  <c r="R19" i="1"/>
  <c r="R20" i="1"/>
  <c r="R21" i="1"/>
  <c r="R22" i="1"/>
  <c r="R23" i="1"/>
  <c r="R24" i="1"/>
  <c r="R25" i="1"/>
  <c r="R17" i="1"/>
  <c r="R8" i="1"/>
  <c r="R9" i="1"/>
  <c r="R10" i="1"/>
  <c r="R11" i="1"/>
  <c r="R12" i="1"/>
  <c r="R13" i="1"/>
  <c r="R14" i="1"/>
  <c r="R15" i="1"/>
  <c r="R7" i="1"/>
  <c r="S8" i="1"/>
  <c r="S9" i="1"/>
  <c r="T9" i="1" s="1"/>
  <c r="S10" i="1"/>
  <c r="S11" i="1"/>
  <c r="S12" i="1"/>
  <c r="S13" i="1"/>
  <c r="S14" i="1"/>
  <c r="S15" i="1"/>
  <c r="S7" i="1"/>
  <c r="R199" i="1" l="1"/>
  <c r="R46" i="1"/>
  <c r="R66" i="1"/>
  <c r="R97" i="1"/>
  <c r="R147" i="1"/>
  <c r="R223" i="1"/>
  <c r="R211" i="1"/>
  <c r="R26" i="1"/>
  <c r="R127" i="1"/>
  <c r="R168" i="1"/>
  <c r="R167" i="1" s="1"/>
  <c r="R36" i="1"/>
  <c r="R179" i="1"/>
  <c r="R178" i="1" s="1"/>
  <c r="R190" i="1"/>
  <c r="R195" i="1"/>
  <c r="R206" i="1"/>
  <c r="R157" i="1"/>
  <c r="R137" i="1"/>
  <c r="R117" i="1"/>
  <c r="R86" i="1"/>
  <c r="R76" i="1"/>
  <c r="R56" i="1"/>
  <c r="R107" i="1"/>
  <c r="R16" i="1"/>
  <c r="R6" i="1"/>
  <c r="AF9" i="1" l="1"/>
  <c r="Y9" i="1" s="1"/>
  <c r="Z9" i="1" s="1"/>
  <c r="R96" i="1"/>
  <c r="R5" i="1"/>
  <c r="C12" i="4"/>
  <c r="C15" i="4" s="1"/>
  <c r="D283" i="1" l="1"/>
  <c r="T226" i="1" l="1"/>
  <c r="T227" i="1"/>
  <c r="T228" i="1"/>
  <c r="T229" i="1"/>
  <c r="AF7" i="1" s="1"/>
  <c r="Y7" i="1" s="1"/>
  <c r="Z7" i="1" s="1"/>
  <c r="T230" i="1"/>
  <c r="AF8" i="1" s="1"/>
  <c r="Y8" i="1" s="1"/>
  <c r="Z8" i="1" s="1"/>
  <c r="T231" i="1"/>
  <c r="AF10" i="1" s="1"/>
  <c r="Y10" i="1" s="1"/>
  <c r="Z10" i="1" s="1"/>
  <c r="T232" i="1"/>
  <c r="T225" i="1"/>
  <c r="T224" i="1"/>
  <c r="D253" i="1" l="1"/>
  <c r="L243" i="1"/>
  <c r="T243" i="1" s="1"/>
  <c r="AE6" i="1" s="1"/>
  <c r="AF6" i="1" s="1"/>
  <c r="Y6" i="1" l="1"/>
  <c r="Z6" i="1" s="1"/>
  <c r="D284" i="1"/>
  <c r="E7" i="3"/>
  <c r="C12" i="3" l="1"/>
  <c r="C14" i="3" s="1"/>
  <c r="D1" i="3"/>
  <c r="T216" i="1"/>
  <c r="O216" i="1"/>
  <c r="L216" i="1"/>
  <c r="C11" i="3" l="1"/>
  <c r="S75" i="1"/>
  <c r="S74" i="1"/>
  <c r="S73" i="1"/>
  <c r="S72" i="1"/>
  <c r="S70" i="1"/>
  <c r="S69" i="1"/>
  <c r="S68" i="1"/>
  <c r="S67" i="1"/>
  <c r="O225" i="1"/>
  <c r="O226" i="1"/>
  <c r="O227" i="1"/>
  <c r="O228" i="1"/>
  <c r="O229" i="1"/>
  <c r="O230" i="1"/>
  <c r="O231" i="1"/>
  <c r="O232" i="1"/>
  <c r="O224" i="1"/>
  <c r="O213" i="1"/>
  <c r="O223" i="1" l="1"/>
  <c r="T223" i="1"/>
  <c r="N141" i="1" l="1"/>
  <c r="S141" i="1" s="1"/>
  <c r="N140" i="1"/>
  <c r="S140" i="1" s="1"/>
  <c r="N131" i="1"/>
  <c r="S131" i="1" s="1"/>
  <c r="N130" i="1"/>
  <c r="S130" i="1" s="1"/>
  <c r="N126" i="1"/>
  <c r="S126" i="1" s="1"/>
  <c r="N121" i="1"/>
  <c r="S121" i="1" s="1"/>
  <c r="N120" i="1"/>
  <c r="S120" i="1" s="1"/>
  <c r="N60" i="1"/>
  <c r="S60" i="1" s="1"/>
  <c r="N59" i="1"/>
  <c r="S59" i="1" s="1"/>
  <c r="U211" i="1" l="1"/>
  <c r="U214" i="1" l="1"/>
  <c r="U209" i="1"/>
  <c r="U206" i="1"/>
  <c r="U204" i="1"/>
  <c r="U202" i="1"/>
  <c r="U199" i="1"/>
  <c r="U190" i="1"/>
  <c r="U195" i="1"/>
  <c r="U189" i="1" l="1"/>
  <c r="U234" i="1" l="1"/>
  <c r="K61" i="1"/>
  <c r="S61" i="1" s="1"/>
  <c r="U235" i="1" l="1"/>
  <c r="O8" i="1"/>
  <c r="O9" i="1"/>
  <c r="O10" i="1"/>
  <c r="O11" i="1"/>
  <c r="O12" i="1"/>
  <c r="O13" i="1"/>
  <c r="O14" i="1"/>
  <c r="O15" i="1"/>
  <c r="O131" i="1"/>
  <c r="O121" i="1"/>
  <c r="O161" i="1"/>
  <c r="O130" i="1"/>
  <c r="O111" i="1"/>
  <c r="O110" i="1"/>
  <c r="O101" i="1"/>
  <c r="O212" i="1"/>
  <c r="O210" i="1"/>
  <c r="O209" i="1" s="1"/>
  <c r="O208" i="1"/>
  <c r="O207" i="1"/>
  <c r="O205" i="1"/>
  <c r="O204" i="1" s="1"/>
  <c r="O203" i="1"/>
  <c r="O202" i="1" s="1"/>
  <c r="O201" i="1"/>
  <c r="O200" i="1"/>
  <c r="O198" i="1"/>
  <c r="O196" i="1"/>
  <c r="O192" i="1"/>
  <c r="O193" i="1"/>
  <c r="O194" i="1"/>
  <c r="O191" i="1"/>
  <c r="O181" i="1"/>
  <c r="O182" i="1"/>
  <c r="O183" i="1"/>
  <c r="O184" i="1"/>
  <c r="O185" i="1"/>
  <c r="O186" i="1"/>
  <c r="O187" i="1"/>
  <c r="O188" i="1"/>
  <c r="O180" i="1"/>
  <c r="O170" i="1"/>
  <c r="O171" i="1"/>
  <c r="O172" i="1"/>
  <c r="O173" i="1"/>
  <c r="O174" i="1"/>
  <c r="O175" i="1"/>
  <c r="O176" i="1"/>
  <c r="O177" i="1"/>
  <c r="O169" i="1"/>
  <c r="O159" i="1"/>
  <c r="O160" i="1"/>
  <c r="O162" i="1"/>
  <c r="O163" i="1"/>
  <c r="O164" i="1"/>
  <c r="O165" i="1"/>
  <c r="O166" i="1"/>
  <c r="O158" i="1"/>
  <c r="O149" i="1"/>
  <c r="O150" i="1"/>
  <c r="O151" i="1"/>
  <c r="O152" i="1"/>
  <c r="O153" i="1"/>
  <c r="O154" i="1"/>
  <c r="O155" i="1"/>
  <c r="O156" i="1"/>
  <c r="O148" i="1"/>
  <c r="O139" i="1"/>
  <c r="O141" i="1"/>
  <c r="O142" i="1"/>
  <c r="O143" i="1"/>
  <c r="O144" i="1"/>
  <c r="O145" i="1"/>
  <c r="O146" i="1"/>
  <c r="O138" i="1"/>
  <c r="O129" i="1"/>
  <c r="O132" i="1"/>
  <c r="O133" i="1"/>
  <c r="O134" i="1"/>
  <c r="O135" i="1"/>
  <c r="O136" i="1"/>
  <c r="O128" i="1"/>
  <c r="O119" i="1"/>
  <c r="O122" i="1"/>
  <c r="O123" i="1"/>
  <c r="O124" i="1"/>
  <c r="O125" i="1"/>
  <c r="O126" i="1"/>
  <c r="O118" i="1"/>
  <c r="O109" i="1"/>
  <c r="O112" i="1"/>
  <c r="O113" i="1"/>
  <c r="O114" i="1"/>
  <c r="O115" i="1"/>
  <c r="O116" i="1"/>
  <c r="O108" i="1"/>
  <c r="O99" i="1"/>
  <c r="O100" i="1"/>
  <c r="O102" i="1"/>
  <c r="O103" i="1"/>
  <c r="O104" i="1"/>
  <c r="O105" i="1"/>
  <c r="O106" i="1"/>
  <c r="O98" i="1"/>
  <c r="O88" i="1"/>
  <c r="O89" i="1"/>
  <c r="O90" i="1"/>
  <c r="O91" i="1"/>
  <c r="O92" i="1"/>
  <c r="O93" i="1"/>
  <c r="O94" i="1"/>
  <c r="O95" i="1"/>
  <c r="O87" i="1"/>
  <c r="O78" i="1"/>
  <c r="O79" i="1"/>
  <c r="O80" i="1"/>
  <c r="O81" i="1"/>
  <c r="O82" i="1"/>
  <c r="O83" i="1"/>
  <c r="O84" i="1"/>
  <c r="O85" i="1"/>
  <c r="O77" i="1"/>
  <c r="O71" i="1"/>
  <c r="O72" i="1"/>
  <c r="O73" i="1"/>
  <c r="O74" i="1"/>
  <c r="O75" i="1"/>
  <c r="O67" i="1"/>
  <c r="O58" i="1"/>
  <c r="O61" i="1"/>
  <c r="O62" i="1"/>
  <c r="O63" i="1"/>
  <c r="O64" i="1"/>
  <c r="O65" i="1"/>
  <c r="O57" i="1"/>
  <c r="O48" i="1"/>
  <c r="O49" i="1"/>
  <c r="O50" i="1"/>
  <c r="O51" i="1"/>
  <c r="O52" i="1"/>
  <c r="O53" i="1"/>
  <c r="O54" i="1"/>
  <c r="O55" i="1"/>
  <c r="O47" i="1"/>
  <c r="O38" i="1"/>
  <c r="O39" i="1"/>
  <c r="O40" i="1"/>
  <c r="O41" i="1"/>
  <c r="O42" i="1"/>
  <c r="O43" i="1"/>
  <c r="O44" i="1"/>
  <c r="O45" i="1"/>
  <c r="O37" i="1"/>
  <c r="O28" i="1"/>
  <c r="O29" i="1"/>
  <c r="O30" i="1"/>
  <c r="O31" i="1"/>
  <c r="O32" i="1"/>
  <c r="O33" i="1"/>
  <c r="O34" i="1"/>
  <c r="O35" i="1"/>
  <c r="O27" i="1"/>
  <c r="O59" i="1"/>
  <c r="O18" i="1"/>
  <c r="O19" i="1"/>
  <c r="O20" i="1"/>
  <c r="O21" i="1"/>
  <c r="O22" i="1"/>
  <c r="O23" i="1"/>
  <c r="O24" i="1"/>
  <c r="O25" i="1"/>
  <c r="O17" i="1"/>
  <c r="O7" i="1"/>
  <c r="T169" i="1"/>
  <c r="T8" i="1"/>
  <c r="T10" i="1"/>
  <c r="T11" i="1"/>
  <c r="T12" i="1"/>
  <c r="T13" i="1"/>
  <c r="T14" i="1"/>
  <c r="T15" i="1"/>
  <c r="T7" i="1"/>
  <c r="I7" i="1"/>
  <c r="O199" i="1" l="1"/>
  <c r="O6" i="1"/>
  <c r="O211" i="1"/>
  <c r="O195" i="1"/>
  <c r="O70" i="1"/>
  <c r="O206" i="1"/>
  <c r="O147" i="1"/>
  <c r="O140" i="1"/>
  <c r="O69" i="1"/>
  <c r="O120" i="1"/>
  <c r="O60" i="1"/>
  <c r="O26" i="1"/>
  <c r="O190" i="1"/>
  <c r="O16" i="1"/>
  <c r="O179" i="1"/>
  <c r="O178" i="1" s="1"/>
  <c r="U237" i="1"/>
  <c r="U236" i="1"/>
  <c r="AA50" i="2"/>
  <c r="AA32" i="2"/>
  <c r="AA26" i="2"/>
  <c r="AA38" i="2"/>
  <c r="K60" i="2"/>
  <c r="AA14" i="2"/>
  <c r="AA56" i="2"/>
  <c r="AA55" i="2"/>
  <c r="AA49" i="2"/>
  <c r="AA44" i="2"/>
  <c r="AA43" i="2"/>
  <c r="AA37" i="2"/>
  <c r="AA31" i="2"/>
  <c r="AA25" i="2"/>
  <c r="AA20" i="2"/>
  <c r="AA19" i="2"/>
  <c r="AA13" i="2"/>
  <c r="AA7" i="2"/>
  <c r="AA6" i="2"/>
  <c r="AA57" i="2" l="1"/>
  <c r="AA60" i="2" s="1"/>
  <c r="AA61" i="2"/>
  <c r="AA58" i="2"/>
  <c r="U238" i="1"/>
  <c r="U239" i="1" s="1"/>
  <c r="G234" i="1"/>
  <c r="G236" i="1" s="1"/>
  <c r="U245" i="1" l="1"/>
  <c r="AA62" i="2"/>
  <c r="G235" i="1"/>
  <c r="G237" i="1"/>
  <c r="U247" i="1" l="1"/>
  <c r="D260" i="1" s="1"/>
  <c r="G238" i="1"/>
  <c r="G239" i="1" s="1"/>
  <c r="D258" i="1" s="1"/>
  <c r="D261" i="1" s="1"/>
  <c r="G245" i="1" l="1"/>
  <c r="D250" i="1" s="1"/>
  <c r="L7" i="1" l="1"/>
  <c r="L13" i="1"/>
  <c r="L11" i="1"/>
  <c r="L10" i="1"/>
  <c r="L210" i="1"/>
  <c r="K173" i="1"/>
  <c r="S173" i="1" s="1"/>
  <c r="K162" i="1"/>
  <c r="S162" i="1" s="1"/>
  <c r="K142" i="1"/>
  <c r="S142" i="1" s="1"/>
  <c r="K132" i="1"/>
  <c r="S132" i="1" s="1"/>
  <c r="K122" i="1"/>
  <c r="S122" i="1" s="1"/>
  <c r="K112" i="1"/>
  <c r="S112" i="1" s="1"/>
  <c r="K102" i="1"/>
  <c r="S102" i="1" s="1"/>
  <c r="K91" i="1"/>
  <c r="S91" i="1" s="1"/>
  <c r="K81" i="1"/>
  <c r="S81" i="1" s="1"/>
  <c r="K71" i="1"/>
  <c r="S71" i="1" s="1"/>
  <c r="K51" i="1"/>
  <c r="S51" i="1" s="1"/>
  <c r="K41" i="1"/>
  <c r="S41" i="1" s="1"/>
  <c r="O168" i="1" l="1"/>
  <c r="O167" i="1" s="1"/>
  <c r="O36" i="1"/>
  <c r="O46" i="1"/>
  <c r="O76" i="1"/>
  <c r="O107" i="1"/>
  <c r="O86" i="1"/>
  <c r="O117" i="1"/>
  <c r="O127" i="1"/>
  <c r="O56" i="1"/>
  <c r="O97" i="1"/>
  <c r="O137" i="1"/>
  <c r="O157" i="1"/>
  <c r="L209" i="1"/>
  <c r="L213" i="1"/>
  <c r="L208" i="1"/>
  <c r="O96" i="1" l="1"/>
  <c r="F238" i="1"/>
  <c r="H222" i="1"/>
  <c r="H221" i="1"/>
  <c r="R221" i="1" s="1"/>
  <c r="H220" i="1"/>
  <c r="R220" i="1" s="1"/>
  <c r="H219" i="1"/>
  <c r="R219" i="1" s="1"/>
  <c r="H218" i="1"/>
  <c r="H217" i="1"/>
  <c r="R217" i="1" s="1"/>
  <c r="H215" i="1"/>
  <c r="T213" i="1"/>
  <c r="T212" i="1"/>
  <c r="L212" i="1"/>
  <c r="L211" i="1" s="1"/>
  <c r="T208" i="1"/>
  <c r="T207" i="1"/>
  <c r="L207" i="1"/>
  <c r="L206" i="1" s="1"/>
  <c r="T205" i="1"/>
  <c r="T204" i="1" s="1"/>
  <c r="L205" i="1"/>
  <c r="L204" i="1" s="1"/>
  <c r="T203" i="1"/>
  <c r="T202" i="1" s="1"/>
  <c r="L203" i="1"/>
  <c r="L202" i="1" s="1"/>
  <c r="T201" i="1"/>
  <c r="L201" i="1"/>
  <c r="T200" i="1"/>
  <c r="L200" i="1"/>
  <c r="I199" i="1"/>
  <c r="T198" i="1"/>
  <c r="L198" i="1"/>
  <c r="T196" i="1"/>
  <c r="L196" i="1"/>
  <c r="I195" i="1"/>
  <c r="T194" i="1"/>
  <c r="L194" i="1"/>
  <c r="T193" i="1"/>
  <c r="L193" i="1"/>
  <c r="T191" i="1"/>
  <c r="L191" i="1"/>
  <c r="I190" i="1"/>
  <c r="T188" i="1"/>
  <c r="L188" i="1"/>
  <c r="I188" i="1"/>
  <c r="T187" i="1"/>
  <c r="L187" i="1"/>
  <c r="I187" i="1"/>
  <c r="T186" i="1"/>
  <c r="L186" i="1"/>
  <c r="I186" i="1"/>
  <c r="T185" i="1"/>
  <c r="L185" i="1"/>
  <c r="I185" i="1"/>
  <c r="T184" i="1"/>
  <c r="L184" i="1"/>
  <c r="I184" i="1"/>
  <c r="T183" i="1"/>
  <c r="L183" i="1"/>
  <c r="I183" i="1"/>
  <c r="T182" i="1"/>
  <c r="L182" i="1"/>
  <c r="I182" i="1"/>
  <c r="T181" i="1"/>
  <c r="L181" i="1"/>
  <c r="I181" i="1"/>
  <c r="T180" i="1"/>
  <c r="L180" i="1"/>
  <c r="I180" i="1"/>
  <c r="T177" i="1"/>
  <c r="L177" i="1"/>
  <c r="I177" i="1"/>
  <c r="T176" i="1"/>
  <c r="L176" i="1"/>
  <c r="I176" i="1"/>
  <c r="T175" i="1"/>
  <c r="L175" i="1"/>
  <c r="I175" i="1"/>
  <c r="T174" i="1"/>
  <c r="L174" i="1"/>
  <c r="I174" i="1"/>
  <c r="T173" i="1"/>
  <c r="L173" i="1"/>
  <c r="I173" i="1"/>
  <c r="T172" i="1"/>
  <c r="L172" i="1"/>
  <c r="I172" i="1"/>
  <c r="T171" i="1"/>
  <c r="L171" i="1"/>
  <c r="I171" i="1"/>
  <c r="T170" i="1"/>
  <c r="L170" i="1"/>
  <c r="I170" i="1"/>
  <c r="L169" i="1"/>
  <c r="I169" i="1"/>
  <c r="T166" i="1"/>
  <c r="L166" i="1"/>
  <c r="I166" i="1"/>
  <c r="T165" i="1"/>
  <c r="L165" i="1"/>
  <c r="I165" i="1"/>
  <c r="T164" i="1"/>
  <c r="L164" i="1"/>
  <c r="I164" i="1"/>
  <c r="T163" i="1"/>
  <c r="L163" i="1"/>
  <c r="I163" i="1"/>
  <c r="T162" i="1"/>
  <c r="L162" i="1"/>
  <c r="I162" i="1"/>
  <c r="T161" i="1"/>
  <c r="L161" i="1"/>
  <c r="I161" i="1"/>
  <c r="T160" i="1"/>
  <c r="L160" i="1"/>
  <c r="I160" i="1"/>
  <c r="T159" i="1"/>
  <c r="L159" i="1"/>
  <c r="I159" i="1"/>
  <c r="T158" i="1"/>
  <c r="L158" i="1"/>
  <c r="I158" i="1"/>
  <c r="T156" i="1"/>
  <c r="L156" i="1"/>
  <c r="I156" i="1"/>
  <c r="T155" i="1"/>
  <c r="L155" i="1"/>
  <c r="I155" i="1"/>
  <c r="T154" i="1"/>
  <c r="L154" i="1"/>
  <c r="I154" i="1"/>
  <c r="T153" i="1"/>
  <c r="L153" i="1"/>
  <c r="I153" i="1"/>
  <c r="T152" i="1"/>
  <c r="L152" i="1"/>
  <c r="I152" i="1"/>
  <c r="T151" i="1"/>
  <c r="L151" i="1"/>
  <c r="I151" i="1"/>
  <c r="T150" i="1"/>
  <c r="L150" i="1"/>
  <c r="I150" i="1"/>
  <c r="T149" i="1"/>
  <c r="L149" i="1"/>
  <c r="I149" i="1"/>
  <c r="T148" i="1"/>
  <c r="L148" i="1"/>
  <c r="I148" i="1"/>
  <c r="T146" i="1"/>
  <c r="L146" i="1"/>
  <c r="I146" i="1"/>
  <c r="T145" i="1"/>
  <c r="L145" i="1"/>
  <c r="I145" i="1"/>
  <c r="T144" i="1"/>
  <c r="L144" i="1"/>
  <c r="I144" i="1"/>
  <c r="T143" i="1"/>
  <c r="L143" i="1"/>
  <c r="I143" i="1"/>
  <c r="T142" i="1"/>
  <c r="L142" i="1"/>
  <c r="I142" i="1"/>
  <c r="T141" i="1"/>
  <c r="L141" i="1"/>
  <c r="I141" i="1"/>
  <c r="T140" i="1"/>
  <c r="L140" i="1"/>
  <c r="I140" i="1"/>
  <c r="T139" i="1"/>
  <c r="L139" i="1"/>
  <c r="I139" i="1"/>
  <c r="T138" i="1"/>
  <c r="L138" i="1"/>
  <c r="I138" i="1"/>
  <c r="T136" i="1"/>
  <c r="L136" i="1"/>
  <c r="I136" i="1"/>
  <c r="T135" i="1"/>
  <c r="L135" i="1"/>
  <c r="I135" i="1"/>
  <c r="T134" i="1"/>
  <c r="L134" i="1"/>
  <c r="I134" i="1"/>
  <c r="T133" i="1"/>
  <c r="L133" i="1"/>
  <c r="I133" i="1"/>
  <c r="T132" i="1"/>
  <c r="L132" i="1"/>
  <c r="I132" i="1"/>
  <c r="T131" i="1"/>
  <c r="L131" i="1"/>
  <c r="I131" i="1"/>
  <c r="T130" i="1"/>
  <c r="L130" i="1"/>
  <c r="I130" i="1"/>
  <c r="T129" i="1"/>
  <c r="L129" i="1"/>
  <c r="I129" i="1"/>
  <c r="T128" i="1"/>
  <c r="L128" i="1"/>
  <c r="I128" i="1"/>
  <c r="T126" i="1"/>
  <c r="L126" i="1"/>
  <c r="I126" i="1"/>
  <c r="T125" i="1"/>
  <c r="L125" i="1"/>
  <c r="I125" i="1"/>
  <c r="T124" i="1"/>
  <c r="L124" i="1"/>
  <c r="I124" i="1"/>
  <c r="T123" i="1"/>
  <c r="L123" i="1"/>
  <c r="I123" i="1"/>
  <c r="T122" i="1"/>
  <c r="L122" i="1"/>
  <c r="I122" i="1"/>
  <c r="T121" i="1"/>
  <c r="L121" i="1"/>
  <c r="I121" i="1"/>
  <c r="T120" i="1"/>
  <c r="L120" i="1"/>
  <c r="I120" i="1"/>
  <c r="T119" i="1"/>
  <c r="L119" i="1"/>
  <c r="I119" i="1"/>
  <c r="T118" i="1"/>
  <c r="L118" i="1"/>
  <c r="I118" i="1"/>
  <c r="T116" i="1"/>
  <c r="L116" i="1"/>
  <c r="I116" i="1"/>
  <c r="T115" i="1"/>
  <c r="L115" i="1"/>
  <c r="I115" i="1"/>
  <c r="T114" i="1"/>
  <c r="L114" i="1"/>
  <c r="I114" i="1"/>
  <c r="T113" i="1"/>
  <c r="L113" i="1"/>
  <c r="I113" i="1"/>
  <c r="T112" i="1"/>
  <c r="L112" i="1"/>
  <c r="I112" i="1"/>
  <c r="T111" i="1"/>
  <c r="L111" i="1"/>
  <c r="I111" i="1"/>
  <c r="T110" i="1"/>
  <c r="L110" i="1"/>
  <c r="I110" i="1"/>
  <c r="T109" i="1"/>
  <c r="L109" i="1"/>
  <c r="I109" i="1"/>
  <c r="T108" i="1"/>
  <c r="L108" i="1"/>
  <c r="I108" i="1"/>
  <c r="T106" i="1"/>
  <c r="L106" i="1"/>
  <c r="I106" i="1"/>
  <c r="T105" i="1"/>
  <c r="L105" i="1"/>
  <c r="I105" i="1"/>
  <c r="T104" i="1"/>
  <c r="L104" i="1"/>
  <c r="I104" i="1"/>
  <c r="T103" i="1"/>
  <c r="L103" i="1"/>
  <c r="I103" i="1"/>
  <c r="T102" i="1"/>
  <c r="L102" i="1"/>
  <c r="I102" i="1"/>
  <c r="T101" i="1"/>
  <c r="L101" i="1"/>
  <c r="I101" i="1"/>
  <c r="T100" i="1"/>
  <c r="L100" i="1"/>
  <c r="I100" i="1"/>
  <c r="T99" i="1"/>
  <c r="L99" i="1"/>
  <c r="I99" i="1"/>
  <c r="T98" i="1"/>
  <c r="L98" i="1"/>
  <c r="I98" i="1"/>
  <c r="T95" i="1"/>
  <c r="L95" i="1"/>
  <c r="I95" i="1"/>
  <c r="T94" i="1"/>
  <c r="L94" i="1"/>
  <c r="I94" i="1"/>
  <c r="T93" i="1"/>
  <c r="L93" i="1"/>
  <c r="I93" i="1"/>
  <c r="T92" i="1"/>
  <c r="L92" i="1"/>
  <c r="I92" i="1"/>
  <c r="T91" i="1"/>
  <c r="L91" i="1"/>
  <c r="I91" i="1"/>
  <c r="T90" i="1"/>
  <c r="L90" i="1"/>
  <c r="I90" i="1"/>
  <c r="T89" i="1"/>
  <c r="L89" i="1"/>
  <c r="I89" i="1"/>
  <c r="T88" i="1"/>
  <c r="L88" i="1"/>
  <c r="I88" i="1"/>
  <c r="T87" i="1"/>
  <c r="L87" i="1"/>
  <c r="I87" i="1"/>
  <c r="T85" i="1"/>
  <c r="L85" i="1"/>
  <c r="I85" i="1"/>
  <c r="T84" i="1"/>
  <c r="L84" i="1"/>
  <c r="I84" i="1"/>
  <c r="T83" i="1"/>
  <c r="L83" i="1"/>
  <c r="I83" i="1"/>
  <c r="T82" i="1"/>
  <c r="L82" i="1"/>
  <c r="I82" i="1"/>
  <c r="T81" i="1"/>
  <c r="L81" i="1"/>
  <c r="I81" i="1"/>
  <c r="T80" i="1"/>
  <c r="L80" i="1"/>
  <c r="I80" i="1"/>
  <c r="T79" i="1"/>
  <c r="L79" i="1"/>
  <c r="I79" i="1"/>
  <c r="T78" i="1"/>
  <c r="L78" i="1"/>
  <c r="I78" i="1"/>
  <c r="T77" i="1"/>
  <c r="L77" i="1"/>
  <c r="I77" i="1"/>
  <c r="T75" i="1"/>
  <c r="L75" i="1"/>
  <c r="I75" i="1"/>
  <c r="T74" i="1"/>
  <c r="L74" i="1"/>
  <c r="I74" i="1"/>
  <c r="T73" i="1"/>
  <c r="L73" i="1"/>
  <c r="I73" i="1"/>
  <c r="T72" i="1"/>
  <c r="L72" i="1"/>
  <c r="I72" i="1"/>
  <c r="T71" i="1"/>
  <c r="L71" i="1"/>
  <c r="I71" i="1"/>
  <c r="T70" i="1"/>
  <c r="L70" i="1"/>
  <c r="I70" i="1"/>
  <c r="T69" i="1"/>
  <c r="L69" i="1"/>
  <c r="I69" i="1"/>
  <c r="L68" i="1"/>
  <c r="I68" i="1"/>
  <c r="T67" i="1"/>
  <c r="L67" i="1"/>
  <c r="I67" i="1"/>
  <c r="T65" i="1"/>
  <c r="L65" i="1"/>
  <c r="I65" i="1"/>
  <c r="T64" i="1"/>
  <c r="L64" i="1"/>
  <c r="I64" i="1"/>
  <c r="T63" i="1"/>
  <c r="L63" i="1"/>
  <c r="I63" i="1"/>
  <c r="T62" i="1"/>
  <c r="L62" i="1"/>
  <c r="I62" i="1"/>
  <c r="T61" i="1"/>
  <c r="L61" i="1"/>
  <c r="I61" i="1"/>
  <c r="T60" i="1"/>
  <c r="L60" i="1"/>
  <c r="I60" i="1"/>
  <c r="T59" i="1"/>
  <c r="L59" i="1"/>
  <c r="I59" i="1"/>
  <c r="T58" i="1"/>
  <c r="L58" i="1"/>
  <c r="I58" i="1"/>
  <c r="T57" i="1"/>
  <c r="L57" i="1"/>
  <c r="I57" i="1"/>
  <c r="T55" i="1"/>
  <c r="L55" i="1"/>
  <c r="I55" i="1"/>
  <c r="T54" i="1"/>
  <c r="L54" i="1"/>
  <c r="I54" i="1"/>
  <c r="T53" i="1"/>
  <c r="L53" i="1"/>
  <c r="I53" i="1"/>
  <c r="T52" i="1"/>
  <c r="L52" i="1"/>
  <c r="I52" i="1"/>
  <c r="T51" i="1"/>
  <c r="L51" i="1"/>
  <c r="I51" i="1"/>
  <c r="T50" i="1"/>
  <c r="L50" i="1"/>
  <c r="I50" i="1"/>
  <c r="T49" i="1"/>
  <c r="L49" i="1"/>
  <c r="I49" i="1"/>
  <c r="T48" i="1"/>
  <c r="L48" i="1"/>
  <c r="I48" i="1"/>
  <c r="T47" i="1"/>
  <c r="L47" i="1"/>
  <c r="I47" i="1"/>
  <c r="T45" i="1"/>
  <c r="L45" i="1"/>
  <c r="I45" i="1"/>
  <c r="T44" i="1"/>
  <c r="L44" i="1"/>
  <c r="I44" i="1"/>
  <c r="T43" i="1"/>
  <c r="L43" i="1"/>
  <c r="I43" i="1"/>
  <c r="T42" i="1"/>
  <c r="L42" i="1"/>
  <c r="I42" i="1"/>
  <c r="T41" i="1"/>
  <c r="L41" i="1"/>
  <c r="I41" i="1"/>
  <c r="T40" i="1"/>
  <c r="L40" i="1"/>
  <c r="I40" i="1"/>
  <c r="T39" i="1"/>
  <c r="L39" i="1"/>
  <c r="I39" i="1"/>
  <c r="T38" i="1"/>
  <c r="L38" i="1"/>
  <c r="I38" i="1"/>
  <c r="T37" i="1"/>
  <c r="L37" i="1"/>
  <c r="I37" i="1"/>
  <c r="T35" i="1"/>
  <c r="L35" i="1"/>
  <c r="I35" i="1"/>
  <c r="T34" i="1"/>
  <c r="L34" i="1"/>
  <c r="I34" i="1"/>
  <c r="T33" i="1"/>
  <c r="L33" i="1"/>
  <c r="I33" i="1"/>
  <c r="T32" i="1"/>
  <c r="L32" i="1"/>
  <c r="I32" i="1"/>
  <c r="T31" i="1"/>
  <c r="L31" i="1"/>
  <c r="I31" i="1"/>
  <c r="T30" i="1"/>
  <c r="L30" i="1"/>
  <c r="I30" i="1"/>
  <c r="T29" i="1"/>
  <c r="L29" i="1"/>
  <c r="I29" i="1"/>
  <c r="T28" i="1"/>
  <c r="L28" i="1"/>
  <c r="I28" i="1"/>
  <c r="T27" i="1"/>
  <c r="L27" i="1"/>
  <c r="I27" i="1"/>
  <c r="T25" i="1"/>
  <c r="L25" i="1"/>
  <c r="I25" i="1"/>
  <c r="T24" i="1"/>
  <c r="L24" i="1"/>
  <c r="I24" i="1"/>
  <c r="T23" i="1"/>
  <c r="L23" i="1"/>
  <c r="I23" i="1"/>
  <c r="T22" i="1"/>
  <c r="L22" i="1"/>
  <c r="I22" i="1"/>
  <c r="T21" i="1"/>
  <c r="L21" i="1"/>
  <c r="I21" i="1"/>
  <c r="T20" i="1"/>
  <c r="L20" i="1"/>
  <c r="I20" i="1"/>
  <c r="T19" i="1"/>
  <c r="L19" i="1"/>
  <c r="I19" i="1"/>
  <c r="T18" i="1"/>
  <c r="L18" i="1"/>
  <c r="I18" i="1"/>
  <c r="T17" i="1"/>
  <c r="L17" i="1"/>
  <c r="I17" i="1"/>
  <c r="L15" i="1"/>
  <c r="I15" i="1"/>
  <c r="L14" i="1"/>
  <c r="I14" i="1"/>
  <c r="I13" i="1"/>
  <c r="L12" i="1"/>
  <c r="I12" i="1"/>
  <c r="I11" i="1"/>
  <c r="I10" i="1"/>
  <c r="L9" i="1"/>
  <c r="I9" i="1"/>
  <c r="L8" i="1"/>
  <c r="I8" i="1"/>
  <c r="Z12" i="1" l="1"/>
  <c r="AF12" i="1"/>
  <c r="T195" i="1"/>
  <c r="T56" i="1"/>
  <c r="T211" i="1"/>
  <c r="O218" i="1"/>
  <c r="R218" i="1"/>
  <c r="T222" i="1"/>
  <c r="R222" i="1"/>
  <c r="O215" i="1"/>
  <c r="R215" i="1"/>
  <c r="T16" i="1"/>
  <c r="T76" i="1"/>
  <c r="T117" i="1"/>
  <c r="T147" i="1"/>
  <c r="T36" i="1"/>
  <c r="T86" i="1"/>
  <c r="T168" i="1"/>
  <c r="T167" i="1" s="1"/>
  <c r="AE4" i="1" s="1"/>
  <c r="AF4" i="1" s="1"/>
  <c r="Y4" i="1" s="1"/>
  <c r="Z4" i="1" s="1"/>
  <c r="T179" i="1"/>
  <c r="T178" i="1" s="1"/>
  <c r="AE5" i="1" s="1"/>
  <c r="AF5" i="1" s="1"/>
  <c r="Y5" i="1" s="1"/>
  <c r="Z5" i="1" s="1"/>
  <c r="T97" i="1"/>
  <c r="T137" i="1"/>
  <c r="T215" i="1"/>
  <c r="L217" i="1"/>
  <c r="O217" i="1"/>
  <c r="T218" i="1"/>
  <c r="L219" i="1"/>
  <c r="O219" i="1"/>
  <c r="T220" i="1"/>
  <c r="O220" i="1"/>
  <c r="L221" i="1"/>
  <c r="O221" i="1"/>
  <c r="O222" i="1"/>
  <c r="L199" i="1"/>
  <c r="L195" i="1"/>
  <c r="L147" i="1"/>
  <c r="L127" i="1"/>
  <c r="L97" i="1"/>
  <c r="L56" i="1"/>
  <c r="L46" i="1"/>
  <c r="L117" i="1"/>
  <c r="L137" i="1"/>
  <c r="L107" i="1"/>
  <c r="L16" i="1"/>
  <c r="L6" i="1"/>
  <c r="T217" i="1"/>
  <c r="T210" i="1"/>
  <c r="T209" i="1" s="1"/>
  <c r="T199" i="1"/>
  <c r="I26" i="1"/>
  <c r="I97" i="1"/>
  <c r="I66" i="1"/>
  <c r="I36" i="1"/>
  <c r="I107" i="1"/>
  <c r="T219" i="1"/>
  <c r="I168" i="1"/>
  <c r="I167" i="1" s="1"/>
  <c r="AB4" i="1" s="1"/>
  <c r="AC4" i="1" s="1"/>
  <c r="I76" i="1"/>
  <c r="L76" i="1"/>
  <c r="I117" i="1"/>
  <c r="I147" i="1"/>
  <c r="L36" i="1"/>
  <c r="I46" i="1"/>
  <c r="I137" i="1"/>
  <c r="L86" i="1"/>
  <c r="I189" i="1"/>
  <c r="AB11" i="1" s="1"/>
  <c r="AC11" i="1" s="1"/>
  <c r="L26" i="1"/>
  <c r="I16" i="1"/>
  <c r="L168" i="1"/>
  <c r="L167" i="1" s="1"/>
  <c r="T221" i="1"/>
  <c r="I127" i="1"/>
  <c r="I157" i="1"/>
  <c r="L222" i="1"/>
  <c r="I179" i="1"/>
  <c r="I178" i="1" s="1"/>
  <c r="AB5" i="1" s="1"/>
  <c r="AC5" i="1" s="1"/>
  <c r="T127" i="1"/>
  <c r="T206" i="1"/>
  <c r="I86" i="1"/>
  <c r="L157" i="1"/>
  <c r="L218" i="1"/>
  <c r="I56" i="1"/>
  <c r="L179" i="1"/>
  <c r="L178" i="1" s="1"/>
  <c r="I6" i="1"/>
  <c r="L66" i="1"/>
  <c r="T6" i="1"/>
  <c r="T26" i="1"/>
  <c r="T46" i="1"/>
  <c r="T107" i="1"/>
  <c r="T157" i="1"/>
  <c r="L215" i="1"/>
  <c r="L220" i="1"/>
  <c r="R214" i="1" l="1"/>
  <c r="R189" i="1" s="1"/>
  <c r="R234" i="1" s="1"/>
  <c r="T96" i="1"/>
  <c r="AE3" i="1" s="1"/>
  <c r="AF3" i="1" s="1"/>
  <c r="T214" i="1"/>
  <c r="O214" i="1"/>
  <c r="O189" i="1" s="1"/>
  <c r="L214" i="1"/>
  <c r="L5" i="1"/>
  <c r="I96" i="1"/>
  <c r="AB3" i="1" s="1"/>
  <c r="AC3" i="1" s="1"/>
  <c r="I5" i="1"/>
  <c r="L96" i="1"/>
  <c r="Y3" i="1" l="1"/>
  <c r="Z3" i="1" s="1"/>
  <c r="AB2" i="1"/>
  <c r="AC2" i="1" s="1"/>
  <c r="AC13" i="1" s="1"/>
  <c r="R238" i="1"/>
  <c r="R239" i="1" s="1"/>
  <c r="R237" i="1"/>
  <c r="R236" i="1"/>
  <c r="R235" i="1"/>
  <c r="I234" i="1"/>
  <c r="I236" i="1" l="1"/>
  <c r="I237" i="1"/>
  <c r="I235" i="1"/>
  <c r="I238" i="1" l="1"/>
  <c r="I239" i="1" l="1"/>
  <c r="I245" i="1" s="1"/>
  <c r="D251" i="1" s="1"/>
  <c r="I206" i="1"/>
  <c r="I204" i="1" s="1"/>
  <c r="I202" i="1" s="1"/>
  <c r="T192" i="1"/>
  <c r="L192" i="1"/>
  <c r="L190" i="1" s="1"/>
  <c r="L189" i="1" s="1"/>
  <c r="L234" i="1" s="1"/>
  <c r="T190" i="1" l="1"/>
  <c r="T189" i="1" s="1"/>
  <c r="AE11" i="1" s="1"/>
  <c r="AF11" i="1" s="1"/>
  <c r="Y11" i="1" s="1"/>
  <c r="Z11" i="1" s="1"/>
  <c r="L236" i="1"/>
  <c r="L235" i="1"/>
  <c r="L237" i="1"/>
  <c r="L238" i="1" l="1"/>
  <c r="L239" i="1" s="1"/>
  <c r="T68" i="1" l="1"/>
  <c r="T66" i="1" s="1"/>
  <c r="T5" i="1" s="1"/>
  <c r="T234" i="1" s="1"/>
  <c r="O68" i="1"/>
  <c r="O66" i="1" s="1"/>
  <c r="O5" i="1" s="1"/>
  <c r="O234" i="1" s="1"/>
  <c r="O235" i="1" l="1"/>
  <c r="O237" i="1"/>
  <c r="O238" i="1"/>
  <c r="O239" i="1" s="1"/>
  <c r="O236" i="1"/>
  <c r="T235" i="1" l="1"/>
  <c r="AE2" i="1"/>
  <c r="AF2" i="1" s="1"/>
  <c r="T237" i="1"/>
  <c r="T236" i="1"/>
  <c r="Y2" i="1" l="1"/>
  <c r="Y13" i="1" s="1"/>
  <c r="AF13" i="1"/>
  <c r="T238" i="1"/>
  <c r="T239" i="1" s="1"/>
  <c r="T245" i="1" s="1"/>
  <c r="T247" i="1" l="1"/>
  <c r="D281" i="1"/>
  <c r="D285" i="1" s="1"/>
  <c r="Z13" i="1"/>
  <c r="D254" i="1" s="1"/>
  <c r="Z2" i="1"/>
  <c r="D267" i="1" l="1"/>
  <c r="D286" i="1"/>
  <c r="G2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ACER</author>
    <author>USUARIO</author>
  </authors>
  <commentList>
    <comment ref="K61" authorId="0" shapeId="0" xr:uid="{9012F4E7-E4B3-4840-A49D-9BA97D6A35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LA CANTIDAD CORRESPONDIENTE AL TRAMO QUE NO SE EJECUTA Y SE SUMA LA CANT DE LAS LLAVES</t>
        </r>
      </text>
    </comment>
    <comment ref="N120" authorId="1" shapeId="0" xr:uid="{8B933822-4D27-46C2-86EE-BEA7E11625D3}">
      <text>
        <r>
          <rPr>
            <b/>
            <sz val="9"/>
            <color indexed="81"/>
            <rFont val="Tahoma"/>
            <family val="2"/>
          </rPr>
          <t>5 OBRAS TRANSVERSALES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6" authorId="2" shapeId="0" xr:uid="{40A3C985-DB30-4824-8373-2FAF5664C7A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se van hacer 2 obras trasversales  del tramo 2</t>
        </r>
      </text>
    </comment>
    <comment ref="N130" authorId="1" shapeId="0" xr:uid="{0F8D0567-3BB9-4A75-B8F8-F7C167E8B2D9}">
      <text>
        <r>
          <rPr>
            <b/>
            <sz val="9"/>
            <color indexed="81"/>
            <rFont val="Tahoma"/>
            <family val="2"/>
          </rPr>
          <t>5 OBRAS TRANSVERSALES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<sst xmlns="http://schemas.openxmlformats.org/spreadsheetml/2006/main" count="1134" uniqueCount="625">
  <si>
    <t>PROYECTO</t>
  </si>
  <si>
    <t>MEJORAMIENTO DE VÍAS TERCIARIAS DE LOS MUNICIPIOS DEL URABÁ, ANTIOQUIA BPIN 2018000040043</t>
  </si>
  <si>
    <t>PRESUPUESTO</t>
  </si>
  <si>
    <t>CONDICIONES INICIALES</t>
  </si>
  <si>
    <t xml:space="preserve">CONDICIONES CONTRACTUALES </t>
  </si>
  <si>
    <t>CONDICIONES ACTUALIZADAS</t>
  </si>
  <si>
    <t xml:space="preserve">EJECUCION FISICA </t>
  </si>
  <si>
    <t>Ítem</t>
  </si>
  <si>
    <t>Ítem de Pago Invias</t>
  </si>
  <si>
    <t>Descripción</t>
  </si>
  <si>
    <t>Unidad</t>
  </si>
  <si>
    <t>Cantidad</t>
  </si>
  <si>
    <t>Precio Unitario</t>
  </si>
  <si>
    <t>Valor parcial</t>
  </si>
  <si>
    <t>MAYORES (+)</t>
  </si>
  <si>
    <t>MENORES (-)</t>
  </si>
  <si>
    <t>VALOR TOTAL</t>
  </si>
  <si>
    <t>Cantidad Final</t>
  </si>
  <si>
    <t>Vr / TOTAL</t>
  </si>
  <si>
    <t>Vr / ACUMULADO</t>
  </si>
  <si>
    <t>1.0</t>
  </si>
  <si>
    <t>Implementar el mejoramiento de vías terciarias para la estructura de pavimento</t>
  </si>
  <si>
    <t>1.1</t>
  </si>
  <si>
    <t>210.2.2</t>
  </si>
  <si>
    <t>Excavación en material común de la explanación y canales</t>
  </si>
  <si>
    <t>m³</t>
  </si>
  <si>
    <t>1.1.1</t>
  </si>
  <si>
    <t>Excavación en material común de la explanación y canales. Municipio de Apartadó</t>
  </si>
  <si>
    <t>1.1.2</t>
  </si>
  <si>
    <t>Excavación en material común de la explanación y canales. Municipio de Arboletes</t>
  </si>
  <si>
    <t>1.1.3</t>
  </si>
  <si>
    <t>Excavación en material común de la explanación y canales. Municipio de Carepa</t>
  </si>
  <si>
    <t>1.1.4</t>
  </si>
  <si>
    <t>Excavación en material común de la explanación y canales. Municipio de Chigorodó</t>
  </si>
  <si>
    <t>1 - Realizar interventoría</t>
  </si>
  <si>
    <t>1.1.5</t>
  </si>
  <si>
    <t>Excavación en material común de la explanación y canales. Municipio de Mutatá</t>
  </si>
  <si>
    <t>1.1.6</t>
  </si>
  <si>
    <t>Excavación en material común de la explanación y canales. Municipio de Necoclí</t>
  </si>
  <si>
    <t>1.1.7</t>
  </si>
  <si>
    <t>Excavación en material común de la explanación y canales. Municipio de San Juan de Urabá</t>
  </si>
  <si>
    <t>1.1.8</t>
  </si>
  <si>
    <t>Excavación en material común de la explanación y canales. Municipio de San Pedro de Urabá</t>
  </si>
  <si>
    <t>1.1.9</t>
  </si>
  <si>
    <t>Excavación en material común de la explanación y canales. Municipio de Turbo</t>
  </si>
  <si>
    <t>1.2</t>
  </si>
  <si>
    <t>900.2</t>
  </si>
  <si>
    <t>Trasnporte de material proveniente de la excavación de la explanación, canales y prestamos para distancias mayores de mil metros (1000 M) medido a partir de 100 metros (100 M)</t>
  </si>
  <si>
    <t>m³/km</t>
  </si>
  <si>
    <t>1.2.1</t>
  </si>
  <si>
    <t>Trasnporte de material proveniente de la excavación de la explanación, canales y prestamos para distancias mayores de mil metros (1000 M) medido a partir de 100 metros (100 M).Municipio de Apartadó</t>
  </si>
  <si>
    <t>1.2.2</t>
  </si>
  <si>
    <t>Trasnporte de material proveniente de la excavación de la explanación, canales y prestamos para distancias mayores de mil metros (1000 M) medido a partir de 100 metros (100 M).Municipio de Arboletes</t>
  </si>
  <si>
    <t>1.2.3</t>
  </si>
  <si>
    <t>Trasnporte de material proveniente de la excavación de la explanación, canales y prestamos para distancias mayores de mil metros (1000 M) medido a partir de 100 metros (100 M).Municipio de Carepa</t>
  </si>
  <si>
    <t>Trasnporte de material proveniente de la excavación de la explanación, canales y prestamos para distancias mayores de mil metros (1000 M) medido a partir de 100 metros (100 M).Municipio de Chigorodó</t>
  </si>
  <si>
    <t>1.2.5</t>
  </si>
  <si>
    <t>Trasnporte de material proveniente de la excavación de la explanación, canales y prestamos para distancias mayores de mil metros (1000 M) medido a partir de 100 metros (100 M).Municipio de Mutatá</t>
  </si>
  <si>
    <t>1.2.6</t>
  </si>
  <si>
    <t>Trasnporte de material proveniente de la excavación de la explanación, canales y prestamos para distancias mayores de mil metros (1000 M) medido a partir de 100 metros (100 M).Municipio de Necoclí</t>
  </si>
  <si>
    <t>1.2.7</t>
  </si>
  <si>
    <t>Trasnporte de material proveniente de la excavación de la explanación, canales y prestamos para distancias mayores de mil metros (1000 M) medido a partir de 100 metros (100 M).Municipio de San Juan de Urabá</t>
  </si>
  <si>
    <t>1.2.8</t>
  </si>
  <si>
    <t>Trasnporte de material proveniente de la excavación de la explanación, canales y prestamos para distancias mayores de mil metros (1000 M) medido a partir de 100 metros (100 M).Municipio de San Pedro de Urabá</t>
  </si>
  <si>
    <t>1.2.9</t>
  </si>
  <si>
    <t>Trasnporte de material proveniente de la excavación de la explanación, canales y prestamos para distancias mayores de mil metros (1000 M) medido a partir de 100 metros (100 M).Municipio de Turbo</t>
  </si>
  <si>
    <t>1.3</t>
  </si>
  <si>
    <t>310.1</t>
  </si>
  <si>
    <t>Conformación de la calzada existente</t>
  </si>
  <si>
    <t>m²</t>
  </si>
  <si>
    <t>1.3.1</t>
  </si>
  <si>
    <t>Conformación de la calzada existente. Municipio de Apartadó</t>
  </si>
  <si>
    <t>1.3.2</t>
  </si>
  <si>
    <t>Conformación de la calzada existente. Municipio de Arboletes</t>
  </si>
  <si>
    <t>1.3.3</t>
  </si>
  <si>
    <t>Conformación de la calzada existente. Municipio de Carepa</t>
  </si>
  <si>
    <t>1.3.4</t>
  </si>
  <si>
    <t>Conformación de la calzada existente. municipio de Chigorodo</t>
  </si>
  <si>
    <t>1.3.5</t>
  </si>
  <si>
    <t>Conformación de la calzada existente. Municipio de Mutatá</t>
  </si>
  <si>
    <t>1.3.6</t>
  </si>
  <si>
    <t>Conformación de la calzada existente. Municipio de Necoclí</t>
  </si>
  <si>
    <t>1.3.7</t>
  </si>
  <si>
    <t>Conformación de la calzada existente. Municipio de San Juan de Urabá</t>
  </si>
  <si>
    <t>1.3.8</t>
  </si>
  <si>
    <t>Conformación de la calzada existente. Municipio de San Pedro de Urabá</t>
  </si>
  <si>
    <t>1.3.9</t>
  </si>
  <si>
    <t>Conformación de la calzada existente. Municipio de Turbo</t>
  </si>
  <si>
    <t>1.4</t>
  </si>
  <si>
    <t>320.3</t>
  </si>
  <si>
    <t>Suministro, extendida y compactación de material seleccionado para Sub-Base Granular Clase C.</t>
  </si>
  <si>
    <t>m3</t>
  </si>
  <si>
    <t>1.4.1</t>
  </si>
  <si>
    <t>Suministro, extendida y compactación de material seleccionado para sub-Base Granular Clase C Municipio de Apartadó</t>
  </si>
  <si>
    <t>1.4.2</t>
  </si>
  <si>
    <t>Suministro, extendida y compactación de material seleccionado para Sub-Base Granular Clase C  Municipio de Arboletes</t>
  </si>
  <si>
    <t>1.4.3</t>
  </si>
  <si>
    <t>Suministro, extendida y compactación de material seleccionado para Sub-Base Granular Clase C  Municipio de Carepa</t>
  </si>
  <si>
    <t>1.4.4</t>
  </si>
  <si>
    <t>Suministro, extendida y compactación de material seleccionado para Sub-Base Granular Clase C Municipio de Chigorodó</t>
  </si>
  <si>
    <t>1.4.5</t>
  </si>
  <si>
    <t>Suministro, extendida y compactación de material seleccionado para Sub-Base Granular Clase C  Municipio de Mutatá</t>
  </si>
  <si>
    <t>1.4.6</t>
  </si>
  <si>
    <t>Suministro, extendida y compactación de material seleccionado para Sub-Base Granular Clase C  Municipio de Necoclí</t>
  </si>
  <si>
    <t>1.4.7</t>
  </si>
  <si>
    <t>Suministro, extendida y compactación de material seleccionado para Sub-Base Granular Clase C Municipio de San Juan de Urabá</t>
  </si>
  <si>
    <t>1.4.8</t>
  </si>
  <si>
    <t>Suministro, extendida y compactación de material seleccionado para Sub-Base Granular Clase C Municipio de San Pedro de Urabá</t>
  </si>
  <si>
    <t>1.4.9</t>
  </si>
  <si>
    <t>Suministro, extendida y compactación de material seleccionado para Sub-Base Granular Clase C  Municipio de Turbo</t>
  </si>
  <si>
    <t>1.5</t>
  </si>
  <si>
    <t>Material de Prestamo</t>
  </si>
  <si>
    <t>1.5.1</t>
  </si>
  <si>
    <t>Material de Prestamo Municipio de Apartadó</t>
  </si>
  <si>
    <t>1.5.2</t>
  </si>
  <si>
    <t>Material de Prestamo  Municipio de Arboletes</t>
  </si>
  <si>
    <t>1.5.3</t>
  </si>
  <si>
    <t>Material de Prestamo Municipio de Carepa</t>
  </si>
  <si>
    <t>1.5.4</t>
  </si>
  <si>
    <t>Material de Prestamo  Municipio de Chigorodó</t>
  </si>
  <si>
    <t>1.5.5</t>
  </si>
  <si>
    <t>Material de Prestamo  Municipio de Mutatá</t>
  </si>
  <si>
    <t>1.5.6</t>
  </si>
  <si>
    <t>Material de Prestamo  Municipio de Necoclí</t>
  </si>
  <si>
    <t>1.5.7</t>
  </si>
  <si>
    <t>Material de Prestamo Municipio de San Juan de Urabá</t>
  </si>
  <si>
    <t>1.5.8</t>
  </si>
  <si>
    <t>Material de Prestamo  Municipio de San Pedro de Urabá</t>
  </si>
  <si>
    <t>1.5.9</t>
  </si>
  <si>
    <t>Material de Prestamo  Municipio de Turbo</t>
  </si>
  <si>
    <t>1.6</t>
  </si>
  <si>
    <t xml:space="preserve">Pavimento Hidraulico MR= 3.8 Mpa (Suministro, Formaleteado, Colocación, Curado, juntas  y Acabado. No Incluye Acero) </t>
  </si>
  <si>
    <t>1.6.1</t>
  </si>
  <si>
    <t>Losa de concreto MR=3.8 MPa (Suministro, Formaleteado, Colocación, Curado, juntas  y Acabado. No Incluye Acero) Municipio de Apartadó</t>
  </si>
  <si>
    <t>1.6.2</t>
  </si>
  <si>
    <t>Losa de concreto MR=3.8 MPa (Suministro, Formaleteado, Colocación, Curado, juntas  y Acabado. No Incluye Acero) Municipio de Arboletes</t>
  </si>
  <si>
    <t>1.6.3</t>
  </si>
  <si>
    <t>Losa de concreto MR=3.8 MPa (Suministro, Formaleteado, Colocación, Curado, juntas  y Acabado. No Incluye Acero) Municipio de Carepa</t>
  </si>
  <si>
    <t>1.6.4</t>
  </si>
  <si>
    <t>Losa de concreto MR=3.8 MPa (Suministro, Formaleteado, Colocación, Curado, juntas  y Acabado. No Incluye Acero) Municipio de Chigorodó</t>
  </si>
  <si>
    <t>1.6.5</t>
  </si>
  <si>
    <t>Losa de concreto MR=3.8 MPa (Suministro, Formaleteado, Colocación, Curado, juntas  y Acabado. No Incluye Acero) Municipio de Mutatá</t>
  </si>
  <si>
    <t>1.6.6</t>
  </si>
  <si>
    <t>Losa de concreto MR=3.8 MPa (Suministro, Formaleteado, Colocación, Curado, juntas  y Acabado. No Incluye Acero) Municipio de Necoclí</t>
  </si>
  <si>
    <t>1.6.7</t>
  </si>
  <si>
    <t>Losa de concreto MR=3.8 MPa (Suministro, Formaleteado, Colocación, Curado, juntas  y Acabado. No Incluye Acero) Municipio de San Juan de Uraba</t>
  </si>
  <si>
    <t>1.6.8</t>
  </si>
  <si>
    <t>Losa de concreto MR=3.8 MPa (Suministro, Formaleteado, Colocación, Curado, juntas  y Acabado. No Incluye Acero) Municipio de San Pedro de Urabá</t>
  </si>
  <si>
    <t>1.6.9</t>
  </si>
  <si>
    <t>Losa de concreto MR=3.8 MPa (Suministro, Formaleteado, Colocación, Curado, juntas  y Acabado. No Incluye Acero) Municipio de Turbo</t>
  </si>
  <si>
    <t>1.7</t>
  </si>
  <si>
    <t>Bordillo Prefabricado</t>
  </si>
  <si>
    <t>m</t>
  </si>
  <si>
    <t>1.7.1</t>
  </si>
  <si>
    <t>Bordillo Prefabricado Municipio de Apartadó</t>
  </si>
  <si>
    <t>1.7.2</t>
  </si>
  <si>
    <t>Bordillo Prefabricado Municipio de Arboletes</t>
  </si>
  <si>
    <t>1.7.3</t>
  </si>
  <si>
    <t>Bordillo Prefabricado Municipio de Carepa</t>
  </si>
  <si>
    <t>1.7.4</t>
  </si>
  <si>
    <t>Bordillo Prefabricado Municipio de Chigorodó</t>
  </si>
  <si>
    <t>1.7.5</t>
  </si>
  <si>
    <t>Bordillo Prefabricado Municipio de Mutatá</t>
  </si>
  <si>
    <t>1.7.6</t>
  </si>
  <si>
    <t>Bordillo Prefabricado Municipio de Necoclí</t>
  </si>
  <si>
    <t>1.7.7</t>
  </si>
  <si>
    <t>Bordillo Prefabricado Municipio de San Juan de Urabá</t>
  </si>
  <si>
    <t>1.7.8</t>
  </si>
  <si>
    <t>Bordillo Prefabricado Municipio de San Pedro de Urabá</t>
  </si>
  <si>
    <t>1.7.9</t>
  </si>
  <si>
    <t>Bordillo Prefabricado huella Municipio de Turbo</t>
  </si>
  <si>
    <t>1.8</t>
  </si>
  <si>
    <t>640.1</t>
  </si>
  <si>
    <t>Acero de refuerzo fy 240MPA (Pasadores Longitudinales)</t>
  </si>
  <si>
    <t>kg</t>
  </si>
  <si>
    <t>1.8.1</t>
  </si>
  <si>
    <t>Acero de refuerzo fy 240MPA (Pasadores Longitudinales) Municipio de Apartadó</t>
  </si>
  <si>
    <t>1.8.2</t>
  </si>
  <si>
    <t>Acero de refuerzo fy 240MPA (Pasadores Longitudinales) Municipio de Arboletes</t>
  </si>
  <si>
    <t>1.8.3</t>
  </si>
  <si>
    <t>Acero de refuerzo fy 240MPA (Pasadores Longitudinales) Municipio de Carepa</t>
  </si>
  <si>
    <t>1.8.4</t>
  </si>
  <si>
    <t>Acero de refuerzo fy 240MPA (Pasadores Longitudinales) Municipio de Chigorodó</t>
  </si>
  <si>
    <t>1.8.5</t>
  </si>
  <si>
    <t>Acero de refuerzo fy 240MPA (Pasadores Longitudinales) Municipio de Mutatá</t>
  </si>
  <si>
    <t>1.8.6</t>
  </si>
  <si>
    <t>Acero de refuerzo fy 240MPA (Pasadores Longitudinales) Municipio de Necoclí</t>
  </si>
  <si>
    <t>1.8.7</t>
  </si>
  <si>
    <t>Acero de refuerzo fy 240MPA (Pasadores Longitudinales) Municipio de San Juan de Urabá</t>
  </si>
  <si>
    <t>1.8.8</t>
  </si>
  <si>
    <t>Acero de refuerzo fy 240MPA (Pasadores Longitudinales) Municipio de San Pedro de Urabá</t>
  </si>
  <si>
    <t>1.8.9</t>
  </si>
  <si>
    <t>Acero de refuerzo fy 240MPA (Pasadores Longitudinales) Municipio de Turbo</t>
  </si>
  <si>
    <t>1.9</t>
  </si>
  <si>
    <t>Acero de refuerzo fy 240MPA (Pasadores Transversales)</t>
  </si>
  <si>
    <t>1.9.1</t>
  </si>
  <si>
    <t>Acero de refuerzo fy 240MPA (Pasadores Transversales) Municipio de Apartadó</t>
  </si>
  <si>
    <t>1.9.2</t>
  </si>
  <si>
    <t>Acero de refuerzo fy 240MPA (Pasadores Transversales) Municipio de Arboletes</t>
  </si>
  <si>
    <t>1.9.3</t>
  </si>
  <si>
    <t>Acero de refuerzo fy 240MPA (Pasadores Transversales) Municipio de Carepa</t>
  </si>
  <si>
    <t>1.9.4</t>
  </si>
  <si>
    <t>Acero de refuerzo fy 240MPA (Pasadores Transversales) Municipio de Chigorodó</t>
  </si>
  <si>
    <t>1.9.5</t>
  </si>
  <si>
    <t>Acero de refuerzo fy 240MPA (Pasadores Transversales) Municipio de Mutatá</t>
  </si>
  <si>
    <t>1.9.6</t>
  </si>
  <si>
    <t>Acero de refuerzo fy 240MPA (Pasadores Transversales) Municipio de Necoclí</t>
  </si>
  <si>
    <t>1.9.7</t>
  </si>
  <si>
    <t>Acero de refuerzo fy 240MPA (Pasadores Transversales) Municipio de San Juan de Urabá</t>
  </si>
  <si>
    <t>1.9.8</t>
  </si>
  <si>
    <t>Acero de refuerzo fy 240MPA (Pasadores Transversales) Municipio de San Pedro de Urabá</t>
  </si>
  <si>
    <t>1.9.9</t>
  </si>
  <si>
    <t>Acero de refuerzo fy 240MPA (Pasadores Transversales) Municipio de Turbo</t>
  </si>
  <si>
    <t>2.0</t>
  </si>
  <si>
    <t xml:space="preserve">Construcción obras de drenaje </t>
  </si>
  <si>
    <t>2.1</t>
  </si>
  <si>
    <t>600.1.1</t>
  </si>
  <si>
    <t>Excavaciónes varias sin clasificar</t>
  </si>
  <si>
    <t>2.1.1</t>
  </si>
  <si>
    <t>Excavaciónes varias sin clasificar. Municipio de Apartadó</t>
  </si>
  <si>
    <t>2.1.2</t>
  </si>
  <si>
    <t>Excavaciónes varias sin clasificar. Municipio de Arboletes</t>
  </si>
  <si>
    <t>2.1.3</t>
  </si>
  <si>
    <t>Excavaciónes varias sin clasificar. Municipio de Carepa</t>
  </si>
  <si>
    <t>2.1.4</t>
  </si>
  <si>
    <t>Excavaciónes varias sin clasificar. Municipio de Chigorodó</t>
  </si>
  <si>
    <t>2.1.5</t>
  </si>
  <si>
    <t>Excavaciónes varias sin clasificar. Municipio de Mutatá</t>
  </si>
  <si>
    <t>2.1.6</t>
  </si>
  <si>
    <t>Excavaciónes varias sin clasificar. Municipio de Necoclí</t>
  </si>
  <si>
    <t>2.1.7</t>
  </si>
  <si>
    <t>Excavaciónes varias sin clasificar. Municipio de San Juan de Urabá</t>
  </si>
  <si>
    <t>2.1.8</t>
  </si>
  <si>
    <t>Excavaciónes varias sin clasificar. Municipio de San Pedro de Urabá</t>
  </si>
  <si>
    <t>2.1.9</t>
  </si>
  <si>
    <t>Excavaciónes varias sin clasificar. Municipio de Turbo</t>
  </si>
  <si>
    <t>2.2</t>
  </si>
  <si>
    <t>610.7</t>
  </si>
  <si>
    <t>Relleno con arena (Protección tubería)</t>
  </si>
  <si>
    <t>2.2.1</t>
  </si>
  <si>
    <t>Relleno con arena (Protección tubería). Municipio de Apartadó</t>
  </si>
  <si>
    <t>2.2.2</t>
  </si>
  <si>
    <t>Relleno con arena (Protección tubería). Municipio de Arboletes</t>
  </si>
  <si>
    <t>2.2.3</t>
  </si>
  <si>
    <t>Relleno con arena (Protección tubería). Municipio de Carepa</t>
  </si>
  <si>
    <t>2.2.4</t>
  </si>
  <si>
    <t>Relleno con arena (Protección tubería). Municipio de Chigorodó</t>
  </si>
  <si>
    <t>2.2.5</t>
  </si>
  <si>
    <t>Relleno con arena (Protección tubería). Municipio de Mutatá</t>
  </si>
  <si>
    <t>2.2.6</t>
  </si>
  <si>
    <t>Relleno con arena (Protección tubería). Municipio de Necoclí</t>
  </si>
  <si>
    <t>2.2.7</t>
  </si>
  <si>
    <t>Relleno con arena (Protección tubería). Municipio de San Juan de Urabá</t>
  </si>
  <si>
    <t>2.2.8</t>
  </si>
  <si>
    <t>Relleno con arena (Protección tubería). Municipio de San Pedro de Urabá</t>
  </si>
  <si>
    <t>2.2.9</t>
  </si>
  <si>
    <t>Relleno con arena (Protección tubería). Municipio de Turbo</t>
  </si>
  <si>
    <t>2.3</t>
  </si>
  <si>
    <t>Acero de refuerzo fy 4.200MPA</t>
  </si>
  <si>
    <t>2.3.1</t>
  </si>
  <si>
    <t>Acero de refuerzo fy 4.200MPA. Municipio de Apartadó</t>
  </si>
  <si>
    <t>2.3.2</t>
  </si>
  <si>
    <t>Acero de refuerzo fy 4.200MPA . Municipio de Arboletes</t>
  </si>
  <si>
    <t>2.3.3</t>
  </si>
  <si>
    <t>Acero de refuerzo fy 4.200MPA . Municipio de Carepa</t>
  </si>
  <si>
    <t>2.3.4</t>
  </si>
  <si>
    <t>Acero de refuerzo fy 4.200MPA . Municipio de Chigorodó</t>
  </si>
  <si>
    <t>2.3.5</t>
  </si>
  <si>
    <t>Acero de refuerzo fy 4.200MPA. Municipio de Mutatá</t>
  </si>
  <si>
    <t>2.3.6</t>
  </si>
  <si>
    <t>Acero de refuerzo fy 4.200MPA. Municipio de Necoclí</t>
  </si>
  <si>
    <t>2.3.7</t>
  </si>
  <si>
    <t>Acero de refuerzo fy 4.200MPA. Municipio de San Juan de Urabá</t>
  </si>
  <si>
    <t>2.3.8</t>
  </si>
  <si>
    <t>Acero de refuerzo fy 4.200MPA. Municipio de San Pedro de Urabá</t>
  </si>
  <si>
    <t>2.3.9</t>
  </si>
  <si>
    <t>Acero de refuerzo fy 4.200MPA (Huellas y riostras). Municipio de Turbo</t>
  </si>
  <si>
    <t>2.4</t>
  </si>
  <si>
    <t>630.4</t>
  </si>
  <si>
    <t>Concreto resistencia 21MPA (D) (Estructuras)</t>
  </si>
  <si>
    <t>2.4.1</t>
  </si>
  <si>
    <t>Concreto resistencia 21MPA (D)(Estructuras). Municipio de Apartadó</t>
  </si>
  <si>
    <t>2.4.2</t>
  </si>
  <si>
    <t>Concreto resistencia 21MPA (D)(Estructuras). Municipio de Arboletes</t>
  </si>
  <si>
    <t>2.4.3</t>
  </si>
  <si>
    <t>Concreto resistencia 21MPA (D)(Estructuras). Municipio de Carepa</t>
  </si>
  <si>
    <t>2.4.4</t>
  </si>
  <si>
    <t>Concreto resistencia 21MPA (D)(Estructuras). Municipio de Chigorodó</t>
  </si>
  <si>
    <t>2.4.5</t>
  </si>
  <si>
    <t>Concreto resistencia 21MPA (D)(Estructuras). Municipio de Mutatá</t>
  </si>
  <si>
    <t>2.4.6</t>
  </si>
  <si>
    <t>Concreto resistencia 21MPA (D)(Estructuras). Municipio de Necoclí</t>
  </si>
  <si>
    <t>2.4.7</t>
  </si>
  <si>
    <t>Concreto resistencia 21MPA (D)(Estructuras). Municipio de San Juan de Urabá</t>
  </si>
  <si>
    <t>2.4.8</t>
  </si>
  <si>
    <t>Concreto resistencia 21MPA (D)(Estructuras). Municipio de San Pedro de Urabá</t>
  </si>
  <si>
    <t>2.4.9</t>
  </si>
  <si>
    <t>Concreto resistencia 21MPA (D)(Estructuras). Municipio de Turbo</t>
  </si>
  <si>
    <t>2.5</t>
  </si>
  <si>
    <t>661.1</t>
  </si>
  <si>
    <t>Tubería de concreto reforzado 21MPA de 900MM de diametro interior</t>
  </si>
  <si>
    <t>2.5.1</t>
  </si>
  <si>
    <t>Tubería de concreto reforzado 21MPA de 900MM de diametro interior. Municipio de Apartadó</t>
  </si>
  <si>
    <t>2.5.2</t>
  </si>
  <si>
    <t>Tubería de concreto reforzado 21MPA de 900MM de diametro interior. Municipio de Arboletes</t>
  </si>
  <si>
    <t>2.5.3</t>
  </si>
  <si>
    <t>Tubería de concreto reforzado 21MPA de 900MM de diametro interior. Municipio de Carepa</t>
  </si>
  <si>
    <t>2.5.4</t>
  </si>
  <si>
    <t>Tubería de concreto reforzado 21MPA de 900MM de diametro interior. Municipio de Chigorodó</t>
  </si>
  <si>
    <t>2.5.5</t>
  </si>
  <si>
    <t>Tubería de concreto reforzado 21MPA de 900MM de diametro interior. Municipio de Mutatá</t>
  </si>
  <si>
    <t>2.5.6</t>
  </si>
  <si>
    <t>Tubería de concreto reforzado 21MPA de 900MM de diametro interior. Municipio de Necoclí</t>
  </si>
  <si>
    <t>2.5.7</t>
  </si>
  <si>
    <t>Tubería de concreto reforzado 21MPA de 900MM de diametro interior. Municipio de San Juan de Urabá</t>
  </si>
  <si>
    <t>2.5.8</t>
  </si>
  <si>
    <t>Tubería de concreto reforzado 21MPA de 900MM de diametro interior. Municipio de San Pedro de Urabá</t>
  </si>
  <si>
    <t>2.5.9</t>
  </si>
  <si>
    <t>Tubería de concreto reforzado 21MPA de 900MM de diametro interior. Municipio de Turbo</t>
  </si>
  <si>
    <t>2.6</t>
  </si>
  <si>
    <t>670.5</t>
  </si>
  <si>
    <t>Disipadores de energía y sedimentadores en concreto ciclopeo</t>
  </si>
  <si>
    <t>2.6.1</t>
  </si>
  <si>
    <t>Disipadores de energía y sedimentadores en concreto ciclopeo.  Municipio de Apartadó</t>
  </si>
  <si>
    <t>2.6.2</t>
  </si>
  <si>
    <t>Disipadores de energía y sedimentadores en concreto ciclopeo.  Municipio de Arboletes</t>
  </si>
  <si>
    <t>2.6.3</t>
  </si>
  <si>
    <t>Disipadores de energía en concreto resistencia de 210 kg/cm² (3000 psi)  Municipio de Carepa</t>
  </si>
  <si>
    <t>2.6.4</t>
  </si>
  <si>
    <t>Disipadores de energía y sedimentadores en concreto ciclopeo.  Municipio de Chigorodó</t>
  </si>
  <si>
    <t>2.6.5</t>
  </si>
  <si>
    <t>Disipadores de energía y sedimentadores en concreto ciclopeo.  Municipio de Mutatá</t>
  </si>
  <si>
    <t>2.6.6</t>
  </si>
  <si>
    <t>Disipadores de energía y sedimentadores en concreto ciclopeo.  Municipio de Necoclí</t>
  </si>
  <si>
    <t>2.6.7</t>
  </si>
  <si>
    <t>Disipadores de energía y sedimentadores en concreto ciclopeo.  Municipio de San Juan de Urabá</t>
  </si>
  <si>
    <t>2.6.8</t>
  </si>
  <si>
    <t>Disipadores de energía y sedimentadores en concreto ciclopeo.  Municipio de San Pedro de Urabá</t>
  </si>
  <si>
    <t>2.6.9</t>
  </si>
  <si>
    <t>Disipadores de energía y sedimentadores en concreto ciclopeo.  Municipio de Turbo</t>
  </si>
  <si>
    <t>2.7</t>
  </si>
  <si>
    <t>630.6</t>
  </si>
  <si>
    <t xml:space="preserve">Concreto resistencia 14MPA (F) </t>
  </si>
  <si>
    <t>2.7.1</t>
  </si>
  <si>
    <t>Concreto resistencia 14MPA (F). Municipio de Apartadó</t>
  </si>
  <si>
    <t>2.7.2</t>
  </si>
  <si>
    <t>Concreto resistencia 14MPA (F).. Municipio de Arboletes</t>
  </si>
  <si>
    <t>2.7.3</t>
  </si>
  <si>
    <t>Concreto resistencia 14MPA (F). Municipio de Carepa</t>
  </si>
  <si>
    <t>2.7.4</t>
  </si>
  <si>
    <t>Concreto resistencia 14MPA (F). Municipio de Chigorodó</t>
  </si>
  <si>
    <t>2.7.5</t>
  </si>
  <si>
    <t>Concreto resistencia 14MPA (F). Municipio de Mutatá</t>
  </si>
  <si>
    <t>2.7.6</t>
  </si>
  <si>
    <t>Concreto resistencia 14MPA (F). Municipio de Necoclí</t>
  </si>
  <si>
    <t>2.7.7</t>
  </si>
  <si>
    <t>Concreto resistencia 14MPA (F). Municipio de San Juan de Urabá</t>
  </si>
  <si>
    <t>2.7.8</t>
  </si>
  <si>
    <t>Concreto resistencia 14MPA (F). Municipio de San Pedro de Urabá</t>
  </si>
  <si>
    <t>2.7.9</t>
  </si>
  <si>
    <t>Concreto resistencia 14MPA (F). Municipio de Turbo</t>
  </si>
  <si>
    <t>3.0</t>
  </si>
  <si>
    <t>Señalización</t>
  </si>
  <si>
    <t>3.1</t>
  </si>
  <si>
    <t>710.1</t>
  </si>
  <si>
    <t>Señal Vertical de Transito tipo 1 con lamina retrorreflectiva tipo III (75 x 75 ) cm</t>
  </si>
  <si>
    <t>und</t>
  </si>
  <si>
    <t>3.1.1</t>
  </si>
  <si>
    <t>Señal Vertical de Transito tipo 1 con lamina retrorreflectiva tipo III (75 x 75 ) cm Municipio de Apartadó</t>
  </si>
  <si>
    <t>3.1.2</t>
  </si>
  <si>
    <t>Señal Vertical de Transito tipo 1 con lamina retrorreflectiva tipo III (75 x 75 ) cm Municipio de Arboletes</t>
  </si>
  <si>
    <t>3.1.3</t>
  </si>
  <si>
    <t>Señal Vertical de Transito tipo 1 con lamina retrorreflectiva tipo III (75 x 75 ) cm Municipio de Carepa</t>
  </si>
  <si>
    <t>3.1.4</t>
  </si>
  <si>
    <t>Señal Vertical de Transito tipo 1 con lamina retrorreflectiva tipo III (75 x 75 ) cm Municipio de Chigorodó</t>
  </si>
  <si>
    <t>3.1.5</t>
  </si>
  <si>
    <t>Señal Vertical de Transito tipo 1 con lamina retrorreflectiva tipo III (75 x 75 ) cm Municipio de Mutatá</t>
  </si>
  <si>
    <t>3.1.6</t>
  </si>
  <si>
    <t>Señal Vertical de Transito tipo 1 con lamina retrorreflectiva tipo III (75 x 75 ) cm Municipio de Necoclí</t>
  </si>
  <si>
    <t>3.1.7</t>
  </si>
  <si>
    <t>Señal Vertical de Transito tipo 1 con lamina retrorreflectiva tipo III (75 x 75 ) cm Municipio de San Juan de Urabá</t>
  </si>
  <si>
    <t>3.1.8</t>
  </si>
  <si>
    <t>Señal Vertical de Transito tipo 1 con lamina retrorreflectiva tipo III (75 x 75 ) cm Municipio de San Pedro de Urabá</t>
  </si>
  <si>
    <t>3.1.9</t>
  </si>
  <si>
    <t>Señal Vertical de Transito tipo 1 con lamina retrorreflectiva tipo III (75 x 75 ) cm Municipio de Turbo</t>
  </si>
  <si>
    <t>4.0</t>
  </si>
  <si>
    <t>Demolición de estructuras existentes</t>
  </si>
  <si>
    <t>4.1</t>
  </si>
  <si>
    <t>Demolición de estructura</t>
  </si>
  <si>
    <t>4.1.1</t>
  </si>
  <si>
    <t>Demolición de estructura .   Municipio de Apartadó</t>
  </si>
  <si>
    <t>4.1.2</t>
  </si>
  <si>
    <t>Demolición de estructura.  Municipio de Arboletes</t>
  </si>
  <si>
    <t>4.1.3</t>
  </si>
  <si>
    <t>Demolición de estructura .  Municipio de Carepa</t>
  </si>
  <si>
    <t>4.1.4</t>
  </si>
  <si>
    <t>Demolición de estructura . Municipio de Chigorodó</t>
  </si>
  <si>
    <t>4.1.5</t>
  </si>
  <si>
    <t>Demolición de estructura .  Municipio de Mutatá</t>
  </si>
  <si>
    <t>4.1.6</t>
  </si>
  <si>
    <t>Demolición de estructura .  Municipio de Necoclí</t>
  </si>
  <si>
    <t>4.1.7</t>
  </si>
  <si>
    <t>Demolición de estructura. Municipio de San Juan de Urabá</t>
  </si>
  <si>
    <t>4.1.8</t>
  </si>
  <si>
    <t>Demolición de estructura. Municipio de San Pedro de Urabá</t>
  </si>
  <si>
    <t>4.1.9</t>
  </si>
  <si>
    <t>Demolición de estructura.  Municipio de Turbo</t>
  </si>
  <si>
    <t>OE</t>
  </si>
  <si>
    <t>OBRAS EXTRAS</t>
  </si>
  <si>
    <t>OE-1</t>
  </si>
  <si>
    <t>Muro en gaviones</t>
  </si>
  <si>
    <t>OE-1.1</t>
  </si>
  <si>
    <t>Construccion de muro en gaviones. Municipio de Apartado</t>
  </si>
  <si>
    <t>Construccion de muro en gaviones. Municipio de Carepa</t>
  </si>
  <si>
    <t>OE-1.2</t>
  </si>
  <si>
    <t>Construccion de muro en gaviones. Municipio de Mutatá</t>
  </si>
  <si>
    <t>OE-1.3</t>
  </si>
  <si>
    <t>Construccion de muro en gaviones. Municipio de Turbo</t>
  </si>
  <si>
    <t>OE-2</t>
  </si>
  <si>
    <t>Geodren Vial</t>
  </si>
  <si>
    <t>OE-2.1</t>
  </si>
  <si>
    <t>Construccion de geodren vial. Municipio de Apartadó</t>
  </si>
  <si>
    <t>OE-2.2</t>
  </si>
  <si>
    <t>Construccion de geodren vial. Municipio de Turbo</t>
  </si>
  <si>
    <t>OE-3</t>
  </si>
  <si>
    <t xml:space="preserve">Demoliciones </t>
  </si>
  <si>
    <t>OE-3.1</t>
  </si>
  <si>
    <t>OE-3.2</t>
  </si>
  <si>
    <t>OE-4</t>
  </si>
  <si>
    <t>Muro de confinamiento</t>
  </si>
  <si>
    <t>Gl</t>
  </si>
  <si>
    <t>OE-4.1</t>
  </si>
  <si>
    <t>Construccion de muro de confinamiento. Municipio de Apartadó</t>
  </si>
  <si>
    <t>OE-5</t>
  </si>
  <si>
    <t>Disipadores de energía</t>
  </si>
  <si>
    <t>OE-5.1</t>
  </si>
  <si>
    <t>OE-6</t>
  </si>
  <si>
    <t>Obras transversales</t>
  </si>
  <si>
    <t>Und</t>
  </si>
  <si>
    <t>OE-6.1</t>
  </si>
  <si>
    <t>Obras transversales. San Juan de Urabá</t>
  </si>
  <si>
    <t>OE-6.2</t>
  </si>
  <si>
    <t>Obras transversales. Turbo</t>
  </si>
  <si>
    <t>OE-7</t>
  </si>
  <si>
    <t>Demoliocion en Roca</t>
  </si>
  <si>
    <t>OE-7.1</t>
  </si>
  <si>
    <t>Demolicion en Roca. Municipio de San Juan de Urabá</t>
  </si>
  <si>
    <t>OE-8</t>
  </si>
  <si>
    <t>Muro Pantalla</t>
  </si>
  <si>
    <t>OE-8.1</t>
  </si>
  <si>
    <t>Construccion de muro pantalla en concreto reforzado. Municipio de Chigorodó</t>
  </si>
  <si>
    <t>OE-8.2</t>
  </si>
  <si>
    <t>Construccion de muro pantalla en concreto reforzado. Municipio de turbo</t>
  </si>
  <si>
    <t>OE-9</t>
  </si>
  <si>
    <t xml:space="preserve">Proteccion lateral de placa en concreto ciclopeo </t>
  </si>
  <si>
    <t xml:space="preserve">ML </t>
  </si>
  <si>
    <t>0E-9-1</t>
  </si>
  <si>
    <t>0E-9-2</t>
  </si>
  <si>
    <t>0E-9-3</t>
  </si>
  <si>
    <t>0E-9-4</t>
  </si>
  <si>
    <t>0E-9-5</t>
  </si>
  <si>
    <t>0E-9-6</t>
  </si>
  <si>
    <t>0E-9-7</t>
  </si>
  <si>
    <t>Total costos directos redondeados al peso</t>
  </si>
  <si>
    <t>Administración</t>
  </si>
  <si>
    <t>Imprevistos</t>
  </si>
  <si>
    <t>Utilidad</t>
  </si>
  <si>
    <t>SUBTOTAL AIU</t>
  </si>
  <si>
    <t>Total costos Directos + A.I.U.</t>
  </si>
  <si>
    <t>COSTO TOTAL DE LA IMPLEMENTACIÓN DEL PLAN DE ADAPTACIÓN A LA GUÍA AMBIENTAL (PAGA)</t>
  </si>
  <si>
    <t>IMPLEMENTACIÓN DEL PLAN DE MANEJO DE TRANSITO</t>
  </si>
  <si>
    <t>CARACTERIZACIÓN VIAL DE 104.400 Km ( Resolución 1860 de 2013 y 1067 de 2015 del Ministerio de Transporte)</t>
  </si>
  <si>
    <t xml:space="preserve">Realizar interventoría </t>
  </si>
  <si>
    <t xml:space="preserve"> Apoyar la Supervisión del contrato</t>
  </si>
  <si>
    <t xml:space="preserve">VALOR TOTAL DEL PROYECTO REDONDEADO AL PESO </t>
  </si>
  <si>
    <t>VALOR FINAL DEL PROYECTO</t>
  </si>
  <si>
    <t>RESUMEN  PROYECTO</t>
  </si>
  <si>
    <t xml:space="preserve">VALOR APROBADO OCAD PROYECTO </t>
  </si>
  <si>
    <t>VALOR  DEL PROYECTO CONTRATADO</t>
  </si>
  <si>
    <t xml:space="preserve">RESUMEN  EJECUCION  FISICA </t>
  </si>
  <si>
    <t xml:space="preserve">VALOR OBRA  + SUPERVISION </t>
  </si>
  <si>
    <t xml:space="preserve">VALOR EJECUTADO OBRA + SUPERVISION </t>
  </si>
  <si>
    <t xml:space="preserve">VALOR EJECUTADO PROYECTO </t>
  </si>
  <si>
    <t>% DE AVANCE FISICO</t>
  </si>
  <si>
    <t>RESUMEN  EJECUCION  FINANCIERA</t>
  </si>
  <si>
    <t>VALOR GIRADO OBRA</t>
  </si>
  <si>
    <t>VALOR GIRADO INTERVENTORIA</t>
  </si>
  <si>
    <t>VALOR GIRADO SUPERVISOR</t>
  </si>
  <si>
    <t>TOTAL EJECUTADO</t>
  </si>
  <si>
    <t>EJECUCION FINANCIERA  %</t>
  </si>
  <si>
    <t>DIRECTOR DE OBRA CONTRATISTA</t>
  </si>
  <si>
    <t>DIRECTOR DE INTERVENTORIA</t>
  </si>
  <si>
    <t>APOYO A SUPERVISOR CONTRATANTE</t>
  </si>
  <si>
    <t>GUSTAVO BECERRA GIL</t>
  </si>
  <si>
    <t>JUAN CAMILO RODRIGUEZ S.</t>
  </si>
  <si>
    <t>Producto MGA Servicio de Información Geográfica - SIG</t>
  </si>
  <si>
    <t>Actividad MGA Realizar la Caracterización vial ( Resolución 1860 de 2013 y 1067 de 2015 del Ministerio de Transporte)</t>
  </si>
  <si>
    <t>No.</t>
  </si>
  <si>
    <t>Detalle Actividad</t>
  </si>
  <si>
    <t>% Ponderación</t>
  </si>
  <si>
    <t>% Avance Físico</t>
  </si>
  <si>
    <t>Aporte Especie</t>
  </si>
  <si>
    <t>Valor Unitario</t>
  </si>
  <si>
    <t>Valor Total</t>
  </si>
  <si>
    <t>[2374240] Realizar la Caracterización vial ( Resolución 1860 de 2013 y 1067 de 2015 del Ministerio de Transporte)</t>
  </si>
  <si>
    <t>$</t>
  </si>
  <si>
    <t>.31</t>
  </si>
  <si>
    <t>No</t>
  </si>
  <si>
    <t>  Inicial</t>
  </si>
  <si>
    <t>  Prog</t>
  </si>
  <si>
    <t>  Eje</t>
  </si>
  <si>
    <t>Producto MGA Vía terciaria mejorada</t>
  </si>
  <si>
    <t>Actividad MGA Apoyar la Supervisión del contrato</t>
  </si>
  <si>
    <t>[2374239] Apoyar la Supervisión del contrato</t>
  </si>
  <si>
    <t>.5</t>
  </si>
  <si>
    <t>Actividad MGA CONSTRUIR OBRAS DE DRENAJE</t>
  </si>
  <si>
    <t>[2374234] CONSTRUIR OBRAS DE DRENAJE</t>
  </si>
  <si>
    <t>10.86</t>
  </si>
  <si>
    <t>23.86</t>
  </si>
  <si>
    <t>Actividad MGA DEMOLER ESTRUCTURAS EXISTENTES</t>
  </si>
  <si>
    <t>[2374236] DEMOLER ESTRUCTURAS EXISTENTES</t>
  </si>
  <si>
    <t>.01</t>
  </si>
  <si>
    <t>90.91</t>
  </si>
  <si>
    <t>Actividad MGA Implementar el mejoramiento de vías terciarias para la estructura de pavimento</t>
  </si>
  <si>
    <t>[2374233] Implementar el mejoramiento de vías terciarias para la estructura de pavimento</t>
  </si>
  <si>
    <t>85.47</t>
  </si>
  <si>
    <t>47.3</t>
  </si>
  <si>
    <t>Actividad MGA Implementar Interventoría Tecnica, Ambiental y Financiera</t>
  </si>
  <si>
    <t>Actividad MGA Implementar Plan de Adaptación a la guía Ambiental</t>
  </si>
  <si>
    <t>[2374237] Implementar Plan de Adaptación a la guía Ambiental</t>
  </si>
  <si>
    <t>1.07</t>
  </si>
  <si>
    <t>Actividad MGA IMPLEMENTAR PLAN DE MANEJO DE TRANSITO</t>
  </si>
  <si>
    <t>[2374238] IMPLEMENTAR PLAN DE MANEJO DE TRANSITO</t>
  </si>
  <si>
    <t>1.09</t>
  </si>
  <si>
    <t>Actividad MGA Instalar Señalización</t>
  </si>
  <si>
    <t>[2374235] Instalar Señalización</t>
  </si>
  <si>
    <t>.69</t>
  </si>
  <si>
    <t>PROGRAMADO</t>
  </si>
  <si>
    <t>EJECUTADO</t>
  </si>
  <si>
    <t>OBRA</t>
  </si>
  <si>
    <t xml:space="preserve">% DE AVANCE FISICO </t>
  </si>
  <si>
    <t>BALANCE DE ACTIVIDADES 1</t>
  </si>
  <si>
    <t>BALANCE DE ACTIVIDADES 2</t>
  </si>
  <si>
    <t>JCR</t>
  </si>
  <si>
    <t>obra</t>
  </si>
  <si>
    <t>interventoria</t>
  </si>
  <si>
    <t>Construccion de geodren vial. Municipio de Chigorodó</t>
  </si>
  <si>
    <t>OE-2.3</t>
  </si>
  <si>
    <t>0E-10</t>
  </si>
  <si>
    <t>Bordillo in situ</t>
  </si>
  <si>
    <t>Bordillo in situ Municipio de Apartadó</t>
  </si>
  <si>
    <t>Bordillo in situ  Municipio de Arboletes</t>
  </si>
  <si>
    <t>Bordillo in situ  Municipio de Carepa</t>
  </si>
  <si>
    <t>Bordillo in situ  Municipio de Chigorodó</t>
  </si>
  <si>
    <t>Bordillo in situ  Municipio de Mutatá</t>
  </si>
  <si>
    <t>Bordillo in situ  Municipio de San Juan de Urabá</t>
  </si>
  <si>
    <t>Bordillo in situ  Municipio de Necoclí</t>
  </si>
  <si>
    <t>Bordillo in situ  Municipio de San Pedro de Urabá</t>
  </si>
  <si>
    <t>VALOR ADICION DEL PROYECTO 1</t>
  </si>
  <si>
    <t>0E-9-8</t>
  </si>
  <si>
    <t>Bordillo in situ Municipio de Turbo</t>
  </si>
  <si>
    <t xml:space="preserve">Proteccion lateral de placa en concreto ciclopeo de 210 kg/cm2. MUNICIPIO DE APARTADO </t>
  </si>
  <si>
    <t>Proteccion lateral de placa en concreto ciclopeo de 210 kg/cm2. MUNICIPIO DE ARBOLETES</t>
  </si>
  <si>
    <t>Proteccion lateral de placa en concreto ciclopeo de 210 kg/cm2. MUNICIPIO DE CAREPA</t>
  </si>
  <si>
    <t>Proteccion lateral de placa en concreto ciclopeo de 210 kg/cm2. MUNICIPIO DE CHIGORODO</t>
  </si>
  <si>
    <t>Proteccion lateral de placa en concreto ciclopeo de 210 kg/cm2. MUNICIPIO DE NECOCLI</t>
  </si>
  <si>
    <t xml:space="preserve">Proteccion lateral de placa en concreto ciclopeo de 210 kg/cm2. MUNICIPIO DE SAN JUAN DE URABA </t>
  </si>
  <si>
    <t xml:space="preserve">Proteccion lateral de placa en concreto ciclopeo de 210 kg/cm2. MUNICIPIO DE SAN PEDRO DE URABA  </t>
  </si>
  <si>
    <t xml:space="preserve">Proteccion lateral de placa en concreto ciclopeo de 210 kg/cm2. MUNICIPIO DE TURBO </t>
  </si>
  <si>
    <t>Y</t>
  </si>
  <si>
    <t xml:space="preserve">PROYECTO   BPIN  2018000040043 </t>
  </si>
  <si>
    <t>VALOR DEL PROYECTO CONTRATADO</t>
  </si>
  <si>
    <t>VALOR FINAL OBRA CON REDISTRIBUCIÓN DE COSTOS OBRA</t>
  </si>
  <si>
    <t>VALOR FINAL CON REDISTRIBUCIÓN DE COSTOS APOYO A LA SUPERVISIÓN</t>
  </si>
  <si>
    <t>VALOR ADICIÓN DEL PROYECTO</t>
  </si>
  <si>
    <t xml:space="preserve">VALOR FINAL APOYO A LA SUPERVISIÓN </t>
  </si>
  <si>
    <t xml:space="preserve">VALOR FINAL CON ADICION # 2 DE INTERVENTORÍA </t>
  </si>
  <si>
    <t xml:space="preserve">ANGEL DAVID  CASTAÑO BARRIOS </t>
  </si>
  <si>
    <t>APARTADO</t>
  </si>
  <si>
    <t>ARBOLETES</t>
  </si>
  <si>
    <t>CAREPA</t>
  </si>
  <si>
    <t xml:space="preserve">CHIGORODO </t>
  </si>
  <si>
    <t>MUTATA</t>
  </si>
  <si>
    <t>NECOCLI</t>
  </si>
  <si>
    <t xml:space="preserve">SAN JUAN </t>
  </si>
  <si>
    <t xml:space="preserve">SAN PEDRO </t>
  </si>
  <si>
    <t>TURBO</t>
  </si>
  <si>
    <t>BALANCE DE ACTIVIDADES 3</t>
  </si>
  <si>
    <t>contractual aiu</t>
  </si>
  <si>
    <t>ACTUALIZADO con aiu</t>
  </si>
  <si>
    <t xml:space="preserve">Actividad </t>
  </si>
  <si>
    <t>actualizada</t>
  </si>
  <si>
    <t xml:space="preserve">diferencia </t>
  </si>
  <si>
    <t>[2263969] Implementar el mejoramiento de vías terciarias para la estructura de pavimento</t>
  </si>
  <si>
    <t>[2263970] CONSTRUIR OBRAS DE DRENAJE</t>
  </si>
  <si>
    <t>[2263971] Instalar Señalización</t>
  </si>
  <si>
    <t>[2263972] DEMOLER ESTRUCTURAS EXISTENTES</t>
  </si>
  <si>
    <t>[2263973] Implementar Plan de Adaptación a la guía Ambiental</t>
  </si>
  <si>
    <t>[2263974] IMPLEMENTAR PLAN DE MANEJO DE TRANSITO</t>
  </si>
  <si>
    <t>[2263975] Apoyar la Supervisión del contrato</t>
  </si>
  <si>
    <t>[2263976] Realizar la Caracterización vial ( Resolución 1860 de 2013 y 1067 de 2015 del Ministerio de Transporte)</t>
  </si>
  <si>
    <t xml:space="preserve"> O- E  Obras extra</t>
  </si>
  <si>
    <t xml:space="preserve">Obras  de Mitigacion </t>
  </si>
  <si>
    <t>Actual</t>
  </si>
  <si>
    <t>VALOR ADICION DEL PROYECTO 3 (presente modificacion )</t>
  </si>
  <si>
    <t xml:space="preserve">VALOR ADICION DEL PROYECTO 2 </t>
  </si>
  <si>
    <t>roducto MGA: Servicio de Información Geográfica - SIG</t>
  </si>
  <si>
    <t>Actividad MGA: Realizar la Caracterización vial ( Resolución 1860 de 2013 y 1067 de 2015 del Ministerio de Transporte)</t>
  </si>
  <si>
    <t>Producto MGA: Vía terciaria mejorada</t>
  </si>
  <si>
    <t>Actividad MGA: Apoyar la Supervisión del contrato</t>
  </si>
  <si>
    <t>76.05</t>
  </si>
  <si>
    <t>Actividad MGA: CONSTRUIR OBRAS DE DRENAJE</t>
  </si>
  <si>
    <t>40.36</t>
  </si>
  <si>
    <t>Actividad MGA: DEMOLER ESTRUCTURAS EXISTENTES</t>
  </si>
  <si>
    <t>18650.65</t>
  </si>
  <si>
    <t>Actividad MGA: Implementar el mejoramiento de vías terciarias para la estructura de pavimento</t>
  </si>
  <si>
    <t>83.61</t>
  </si>
  <si>
    <t>Actividad MGA: Implementar Interventoría Tecnica, Ambiental y Financiera</t>
  </si>
  <si>
    <t>Actividad MGA: Implementar Plan de Adaptación a la guía Ambiental</t>
  </si>
  <si>
    <t>38.49</t>
  </si>
  <si>
    <t>Actividad MGA: IMPLEMENTAR PLAN DE MANEJO DE TRANSITO</t>
  </si>
  <si>
    <t>46.13</t>
  </si>
  <si>
    <t>Actividad MGA: Instalar Señalización</t>
  </si>
  <si>
    <t>20.99</t>
  </si>
  <si>
    <t>Implementar Interventoría Tecnica, Ambiental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</si>
</sst>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"/>
    <numFmt numFmtId="168" formatCode="0.000"/>
    <numFmt numFmtId="169" formatCode="_-* #,##0.0\ _€_-;\-* #,##0.0\ _€_-;_-* &quot;-&quot;??\ _€_-;_-@_-"/>
    <numFmt numFmtId="170" formatCode="0.000000%"/>
    <numFmt numFmtId="171" formatCode="0.000%"/>
    <numFmt numFmtId="172" formatCode="_-&quot;$&quot;* #,##0_-;\-&quot;$&quot;* #,##0_-;_-&quot;$&quot;* &quot;-&quot;_-;_-@_-"/>
    <numFmt numFmtId="173" formatCode="0.0000%"/>
    <numFmt numFmtId="174" formatCode="&quot;$&quot;\ #,##0.00"/>
    <numFmt numFmtId="175" formatCode="[$$-240A]#,##0.00"/>
    <numFmt numFmtId="176" formatCode="[$$-240A]#,##0.000"/>
    <numFmt numFmtId="177" formatCode="_(&quot;$&quot;\ * #,##0.00_);_(&quot;$&quot;\ * \(#,##0.00\);_(&quot;$&quot;\ * &quot;-&quot;??_);_(@_)"/>
    <numFmt numFmtId="178" formatCode="_-&quot;$&quot;* #,##0.0000_-;\-&quot;$&quot;* #,##0.0000_-;_-&quot;$&quot;* &quot;-&quot;??_-;_-@_-"/>
    <numFmt numFmtId="179" formatCode="_-&quot;$&quot;* #,##0.00000_-;\-&quot;$&quot;* #,##0.00000_-;_-&quot;$&quot;* &quot;-&quot;??_-;_-@_-"/>
    <numFmt numFmtId="180" formatCode="_ * #,##0.00_ ;_ * \-#,##0.00_ ;_ * &quot;-&quot;??_ ;_ @_ "/>
    <numFmt numFmtId="181" formatCode="_-&quot;$&quot;\ * #,##0.000000_-;\-&quot;$&quot;\ * #,##0.000000_-;_-&quot;$&quot;\ * &quot;-&quot;??_-;_-@_-"/>
    <numFmt numFmtId="182" formatCode="_-&quot;$&quot;* #,##0.0000000_-;\-&quot;$&quot;* #,##0.0000000_-;_-&quot;$&quot;* &quot;-&quot;??_-;_-@_-"/>
    <numFmt numFmtId="183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b/>
      <sz val="8"/>
      <color rgb="FF212529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333333"/>
      <name val="Helvetica"/>
      <family val="2"/>
    </font>
    <font>
      <sz val="9"/>
      <color rgb="FF333333"/>
      <name val="Helvetica"/>
      <family val="2"/>
    </font>
    <font>
      <b/>
      <sz val="11"/>
      <color rgb="FF333333"/>
      <name val="Helvetica"/>
      <family val="2"/>
    </font>
    <font>
      <sz val="9"/>
      <color rgb="FF212529"/>
      <name val="Helvetica"/>
      <family val="2"/>
    </font>
    <font>
      <sz val="9"/>
      <color rgb="FF21252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FF8FB"/>
        <bgColor indexed="64"/>
      </patternFill>
    </fill>
    <fill>
      <patternFill patternType="solid">
        <fgColor rgb="FFFBFBEF"/>
        <bgColor indexed="64"/>
      </patternFill>
    </fill>
    <fill>
      <patternFill patternType="solid">
        <fgColor rgb="FFFBE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9F9F9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EE2E6"/>
      </left>
      <right/>
      <top style="medium">
        <color rgb="FFDEE2E6"/>
      </top>
      <bottom style="medium">
        <color rgb="FFDDDDDD"/>
      </bottom>
      <diagonal/>
    </border>
    <border>
      <left/>
      <right/>
      <top style="medium">
        <color rgb="FFDEE2E6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DDDDD"/>
      </bottom>
      <diagonal/>
    </border>
    <border>
      <left style="medium">
        <color rgb="FFDEE2E6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/>
      <diagonal/>
    </border>
    <border>
      <left style="medium">
        <color rgb="FFDEE2E6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/>
      <bottom/>
      <diagonal/>
    </border>
    <border>
      <left style="medium">
        <color rgb="FFDEE2E6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EE2E6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 style="medium">
        <color rgb="FFA8D08D"/>
      </left>
      <right/>
      <top/>
      <bottom/>
      <diagonal/>
    </border>
    <border>
      <left style="medium">
        <color rgb="FF70AD47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 applyAlignment="0"/>
    <xf numFmtId="177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17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</cellStyleXfs>
  <cellXfs count="570">
    <xf numFmtId="0" fontId="0" fillId="0" borderId="0" xfId="0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6" fontId="5" fillId="2" borderId="13" xfId="2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5" fontId="5" fillId="3" borderId="13" xfId="2" applyFont="1" applyFill="1" applyBorder="1" applyAlignment="1">
      <alignment vertical="center" wrapText="1"/>
    </xf>
    <xf numFmtId="165" fontId="5" fillId="3" borderId="11" xfId="2" applyFont="1" applyFill="1" applyBorder="1" applyAlignment="1">
      <alignment horizontal="right" vertical="center" wrapText="1"/>
    </xf>
    <xf numFmtId="165" fontId="5" fillId="3" borderId="14" xfId="2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justify" vertical="justify" wrapText="1"/>
    </xf>
    <xf numFmtId="165" fontId="5" fillId="3" borderId="13" xfId="2" applyFont="1" applyFill="1" applyBorder="1" applyAlignment="1">
      <alignment horizontal="right" vertical="center" wrapText="1"/>
    </xf>
    <xf numFmtId="165" fontId="0" fillId="3" borderId="11" xfId="2" applyFont="1" applyFill="1" applyBorder="1"/>
    <xf numFmtId="165" fontId="5" fillId="3" borderId="14" xfId="2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justify" wrapText="1"/>
    </xf>
    <xf numFmtId="165" fontId="6" fillId="0" borderId="13" xfId="2" applyFont="1" applyFill="1" applyBorder="1" applyAlignment="1">
      <alignment horizontal="right" vertical="center" wrapText="1"/>
    </xf>
    <xf numFmtId="167" fontId="6" fillId="0" borderId="11" xfId="0" applyNumberFormat="1" applyFont="1" applyBorder="1"/>
    <xf numFmtId="167" fontId="6" fillId="0" borderId="12" xfId="0" applyNumberFormat="1" applyFont="1" applyBorder="1"/>
    <xf numFmtId="44" fontId="7" fillId="0" borderId="13" xfId="5" applyFont="1" applyBorder="1" applyAlignment="1">
      <alignment horizontal="center" vertical="center" wrapText="1"/>
    </xf>
    <xf numFmtId="165" fontId="6" fillId="0" borderId="14" xfId="2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/>
    </xf>
    <xf numFmtId="167" fontId="6" fillId="0" borderId="11" xfId="0" applyNumberFormat="1" applyFont="1" applyBorder="1" applyAlignment="1">
      <alignment vertical="center"/>
    </xf>
    <xf numFmtId="167" fontId="6" fillId="0" borderId="12" xfId="0" applyNumberFormat="1" applyFont="1" applyBorder="1" applyAlignment="1">
      <alignment vertical="center"/>
    </xf>
    <xf numFmtId="44" fontId="9" fillId="0" borderId="13" xfId="5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10" fillId="3" borderId="12" xfId="0" applyFont="1" applyFill="1" applyBorder="1" applyAlignment="1">
      <alignment vertical="center"/>
    </xf>
    <xf numFmtId="165" fontId="0" fillId="3" borderId="11" xfId="2" applyFont="1" applyFill="1" applyBorder="1" applyAlignment="1">
      <alignment horizontal="right"/>
    </xf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165" fontId="6" fillId="0" borderId="13" xfId="2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justify"/>
    </xf>
    <xf numFmtId="49" fontId="5" fillId="3" borderId="18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justify" vertical="center" wrapText="1"/>
    </xf>
    <xf numFmtId="164" fontId="5" fillId="3" borderId="14" xfId="1" applyFont="1" applyFill="1" applyBorder="1" applyAlignment="1">
      <alignment vertical="center" wrapText="1"/>
    </xf>
    <xf numFmtId="164" fontId="5" fillId="3" borderId="16" xfId="1" applyFont="1" applyFill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justify" wrapText="1"/>
    </xf>
    <xf numFmtId="0" fontId="8" fillId="0" borderId="12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justify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165" fontId="6" fillId="0" borderId="22" xfId="2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justify" wrapText="1"/>
    </xf>
    <xf numFmtId="0" fontId="6" fillId="5" borderId="23" xfId="0" applyFont="1" applyFill="1" applyBorder="1" applyAlignment="1">
      <alignment horizontal="center" vertical="center" wrapText="1"/>
    </xf>
    <xf numFmtId="165" fontId="6" fillId="0" borderId="23" xfId="2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165" fontId="5" fillId="6" borderId="13" xfId="2" applyFont="1" applyFill="1" applyBorder="1" applyAlignment="1">
      <alignment horizontal="right" vertical="center" wrapText="1"/>
    </xf>
    <xf numFmtId="164" fontId="8" fillId="6" borderId="11" xfId="0" applyNumberFormat="1" applyFont="1" applyFill="1" applyBorder="1" applyAlignment="1">
      <alignment horizontal="right" vertical="center"/>
    </xf>
    <xf numFmtId="165" fontId="5" fillId="6" borderId="14" xfId="2" applyFont="1" applyFill="1" applyBorder="1" applyAlignment="1">
      <alignment horizontal="right" vertical="center" wrapText="1"/>
    </xf>
    <xf numFmtId="164" fontId="8" fillId="3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5" fontId="5" fillId="0" borderId="22" xfId="2" applyFont="1" applyFill="1" applyBorder="1" applyAlignment="1">
      <alignment horizontal="right" vertical="center" wrapText="1"/>
    </xf>
    <xf numFmtId="164" fontId="8" fillId="0" borderId="14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7" fontId="6" fillId="3" borderId="11" xfId="0" applyNumberFormat="1" applyFont="1" applyFill="1" applyBorder="1" applyAlignment="1">
      <alignment vertical="center"/>
    </xf>
    <xf numFmtId="167" fontId="6" fillId="3" borderId="12" xfId="0" applyNumberFormat="1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 wrapText="1"/>
    </xf>
    <xf numFmtId="167" fontId="6" fillId="3" borderId="21" xfId="0" applyNumberFormat="1" applyFont="1" applyFill="1" applyBorder="1" applyAlignment="1">
      <alignment vertical="center"/>
    </xf>
    <xf numFmtId="167" fontId="6" fillId="3" borderId="18" xfId="0" applyNumberFormat="1" applyFont="1" applyFill="1" applyBorder="1" applyAlignment="1">
      <alignment vertical="center"/>
    </xf>
    <xf numFmtId="167" fontId="6" fillId="0" borderId="18" xfId="0" applyNumberFormat="1" applyFont="1" applyBorder="1" applyAlignment="1">
      <alignment vertical="center"/>
    </xf>
    <xf numFmtId="165" fontId="6" fillId="3" borderId="22" xfId="2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5" borderId="15" xfId="0" applyFont="1" applyFill="1" applyBorder="1" applyAlignment="1">
      <alignment horizontal="center" vertical="center" wrapText="1"/>
    </xf>
    <xf numFmtId="165" fontId="5" fillId="2" borderId="27" xfId="2" applyFont="1" applyFill="1" applyBorder="1" applyAlignment="1">
      <alignment vertical="center"/>
    </xf>
    <xf numFmtId="44" fontId="0" fillId="2" borderId="28" xfId="0" applyNumberFormat="1" applyFill="1" applyBorder="1"/>
    <xf numFmtId="44" fontId="0" fillId="2" borderId="29" xfId="0" applyNumberFormat="1" applyFill="1" applyBorder="1"/>
    <xf numFmtId="165" fontId="5" fillId="2" borderId="28" xfId="2" applyFont="1" applyFill="1" applyBorder="1" applyAlignment="1">
      <alignment vertical="center"/>
    </xf>
    <xf numFmtId="0" fontId="0" fillId="0" borderId="12" xfId="0" applyBorder="1"/>
    <xf numFmtId="165" fontId="10" fillId="2" borderId="22" xfId="0" applyNumberFormat="1" applyFont="1" applyFill="1" applyBorder="1" applyAlignment="1">
      <alignment vertical="center"/>
    </xf>
    <xf numFmtId="44" fontId="0" fillId="0" borderId="21" xfId="0" applyNumberFormat="1" applyBorder="1"/>
    <xf numFmtId="0" fontId="0" fillId="0" borderId="18" xfId="0" applyBorder="1"/>
    <xf numFmtId="165" fontId="10" fillId="0" borderId="21" xfId="0" applyNumberFormat="1" applyFont="1" applyBorder="1" applyAlignment="1">
      <alignment vertical="center"/>
    </xf>
    <xf numFmtId="165" fontId="10" fillId="2" borderId="23" xfId="0" applyNumberFormat="1" applyFont="1" applyFill="1" applyBorder="1" applyAlignment="1">
      <alignment vertical="center"/>
    </xf>
    <xf numFmtId="165" fontId="5" fillId="7" borderId="12" xfId="2" applyFont="1" applyFill="1" applyBorder="1"/>
    <xf numFmtId="44" fontId="2" fillId="8" borderId="12" xfId="0" applyNumberFormat="1" applyFont="1" applyFill="1" applyBorder="1"/>
    <xf numFmtId="44" fontId="0" fillId="0" borderId="0" xfId="0" applyNumberFormat="1"/>
    <xf numFmtId="172" fontId="0" fillId="0" borderId="0" xfId="3" applyFont="1" applyFill="1" applyBorder="1"/>
    <xf numFmtId="171" fontId="10" fillId="0" borderId="0" xfId="4" applyNumberFormat="1" applyFont="1" applyFill="1" applyBorder="1" applyAlignment="1">
      <alignment horizontal="right" vertical="center"/>
    </xf>
    <xf numFmtId="174" fontId="0" fillId="0" borderId="0" xfId="0" applyNumberFormat="1"/>
    <xf numFmtId="0" fontId="2" fillId="2" borderId="12" xfId="0" applyFont="1" applyFill="1" applyBorder="1"/>
    <xf numFmtId="172" fontId="0" fillId="0" borderId="0" xfId="0" applyNumberFormat="1"/>
    <xf numFmtId="172" fontId="12" fillId="0" borderId="0" xfId="3" applyFont="1" applyFill="1" applyBorder="1"/>
    <xf numFmtId="165" fontId="0" fillId="0" borderId="0" xfId="0" applyNumberFormat="1"/>
    <xf numFmtId="165" fontId="1" fillId="0" borderId="0" xfId="2" applyFont="1" applyFill="1" applyBorder="1" applyAlignment="1">
      <alignment vertical="center" wrapText="1"/>
    </xf>
    <xf numFmtId="166" fontId="0" fillId="0" borderId="0" xfId="2" applyNumberFormat="1" applyFont="1" applyFill="1" applyBorder="1" applyAlignment="1">
      <alignment horizontal="right" vertical="center" wrapText="1"/>
    </xf>
    <xf numFmtId="165" fontId="2" fillId="0" borderId="0" xfId="2" applyFont="1" applyFill="1" applyBorder="1" applyAlignment="1">
      <alignment vertical="center"/>
    </xf>
    <xf numFmtId="44" fontId="0" fillId="0" borderId="12" xfId="0" applyNumberFormat="1" applyBorder="1"/>
    <xf numFmtId="165" fontId="0" fillId="0" borderId="0" xfId="2" applyFont="1"/>
    <xf numFmtId="165" fontId="0" fillId="0" borderId="12" xfId="0" applyNumberFormat="1" applyBorder="1"/>
    <xf numFmtId="43" fontId="0" fillId="0" borderId="0" xfId="3" applyNumberFormat="1" applyFont="1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5" fontId="1" fillId="0" borderId="0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8" fillId="3" borderId="14" xfId="0" applyNumberFormat="1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6" fillId="0" borderId="14" xfId="1" applyFont="1" applyFill="1" applyBorder="1" applyAlignment="1">
      <alignment horizontal="center" vertical="center" wrapText="1"/>
    </xf>
    <xf numFmtId="164" fontId="8" fillId="0" borderId="14" xfId="1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vertical="center"/>
    </xf>
    <xf numFmtId="164" fontId="8" fillId="0" borderId="14" xfId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vertical="center"/>
    </xf>
    <xf numFmtId="164" fontId="6" fillId="0" borderId="14" xfId="1" applyFont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vertical="center"/>
    </xf>
    <xf numFmtId="164" fontId="8" fillId="5" borderId="23" xfId="0" applyNumberFormat="1" applyFont="1" applyFill="1" applyBorder="1" applyAlignment="1">
      <alignment vertical="center"/>
    </xf>
    <xf numFmtId="164" fontId="8" fillId="3" borderId="23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165" fontId="6" fillId="0" borderId="16" xfId="2" applyFont="1" applyFill="1" applyBorder="1" applyAlignment="1">
      <alignment horizontal="center" vertical="center" wrapText="1"/>
    </xf>
    <xf numFmtId="165" fontId="6" fillId="0" borderId="16" xfId="2" applyFont="1" applyBorder="1" applyAlignment="1">
      <alignment horizontal="center" vertical="center" wrapText="1"/>
    </xf>
    <xf numFmtId="165" fontId="6" fillId="0" borderId="35" xfId="2" applyFont="1" applyBorder="1" applyAlignment="1">
      <alignment horizontal="center" vertical="center" wrapText="1"/>
    </xf>
    <xf numFmtId="165" fontId="8" fillId="0" borderId="16" xfId="2" applyFont="1" applyFill="1" applyBorder="1" applyAlignment="1">
      <alignment horizontal="center" vertical="center"/>
    </xf>
    <xf numFmtId="165" fontId="6" fillId="3" borderId="16" xfId="2" applyFont="1" applyFill="1" applyBorder="1" applyAlignment="1">
      <alignment horizontal="center" vertical="center" wrapText="1"/>
    </xf>
    <xf numFmtId="165" fontId="6" fillId="3" borderId="35" xfId="2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165" fontId="5" fillId="3" borderId="38" xfId="1" applyNumberFormat="1" applyFont="1" applyFill="1" applyBorder="1" applyAlignment="1">
      <alignment vertical="center" wrapText="1"/>
    </xf>
    <xf numFmtId="164" fontId="5" fillId="3" borderId="17" xfId="1" applyFont="1" applyFill="1" applyBorder="1" applyAlignment="1">
      <alignment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3" xfId="1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vertical="center"/>
    </xf>
    <xf numFmtId="165" fontId="8" fillId="0" borderId="13" xfId="0" applyNumberFormat="1" applyFont="1" applyBorder="1" applyAlignment="1">
      <alignment vertical="center"/>
    </xf>
    <xf numFmtId="165" fontId="6" fillId="0" borderId="11" xfId="1" applyNumberFormat="1" applyFont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center" vertical="center" wrapText="1"/>
    </xf>
    <xf numFmtId="166" fontId="5" fillId="3" borderId="17" xfId="0" applyNumberFormat="1" applyFont="1" applyFill="1" applyBorder="1" applyAlignment="1">
      <alignment vertical="center" wrapText="1"/>
    </xf>
    <xf numFmtId="165" fontId="5" fillId="3" borderId="38" xfId="0" applyNumberFormat="1" applyFont="1" applyFill="1" applyBorder="1" applyAlignment="1">
      <alignment vertical="center" wrapText="1"/>
    </xf>
    <xf numFmtId="166" fontId="5" fillId="3" borderId="17" xfId="1" applyNumberFormat="1" applyFont="1" applyFill="1" applyBorder="1" applyAlignment="1">
      <alignment vertical="center" wrapText="1"/>
    </xf>
    <xf numFmtId="164" fontId="10" fillId="3" borderId="17" xfId="0" applyNumberFormat="1" applyFont="1" applyFill="1" applyBorder="1" applyAlignment="1">
      <alignment vertical="center" wrapText="1"/>
    </xf>
    <xf numFmtId="165" fontId="10" fillId="3" borderId="38" xfId="0" applyNumberFormat="1" applyFont="1" applyFill="1" applyBorder="1" applyAlignment="1">
      <alignment vertical="center" wrapText="1"/>
    </xf>
    <xf numFmtId="165" fontId="6" fillId="0" borderId="21" xfId="1" applyNumberFormat="1" applyFont="1" applyFill="1" applyBorder="1" applyAlignment="1">
      <alignment horizontal="center" vertical="center" wrapText="1"/>
    </xf>
    <xf numFmtId="165" fontId="6" fillId="0" borderId="22" xfId="1" applyNumberFormat="1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165" fontId="8" fillId="5" borderId="21" xfId="0" applyNumberFormat="1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165" fontId="5" fillId="6" borderId="38" xfId="0" applyNumberFormat="1" applyFont="1" applyFill="1" applyBorder="1" applyAlignment="1">
      <alignment vertical="center" wrapText="1"/>
    </xf>
    <xf numFmtId="164" fontId="8" fillId="3" borderId="17" xfId="0" applyNumberFormat="1" applyFont="1" applyFill="1" applyBorder="1" applyAlignment="1">
      <alignment vertical="center"/>
    </xf>
    <xf numFmtId="164" fontId="8" fillId="3" borderId="38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3" borderId="11" xfId="0" applyNumberFormat="1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38" xfId="0" applyNumberFormat="1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165" fontId="10" fillId="2" borderId="27" xfId="0" applyNumberFormat="1" applyFont="1" applyFill="1" applyBorder="1" applyAlignment="1">
      <alignment vertical="center"/>
    </xf>
    <xf numFmtId="0" fontId="14" fillId="10" borderId="42" xfId="0" applyFont="1" applyFill="1" applyBorder="1" applyAlignment="1">
      <alignment horizontal="center" vertical="center" wrapText="1"/>
    </xf>
    <xf numFmtId="0" fontId="14" fillId="10" borderId="43" xfId="0" applyFont="1" applyFill="1" applyBorder="1" applyAlignment="1">
      <alignment horizontal="center" vertical="center" wrapText="1"/>
    </xf>
    <xf numFmtId="0" fontId="16" fillId="11" borderId="41" xfId="0" applyFont="1" applyFill="1" applyBorder="1" applyAlignment="1">
      <alignment horizontal="left" vertical="center" wrapText="1"/>
    </xf>
    <xf numFmtId="0" fontId="15" fillId="11" borderId="41" xfId="0" applyFont="1" applyFill="1" applyBorder="1" applyAlignment="1">
      <alignment horizontal="center" vertical="center" wrapText="1"/>
    </xf>
    <xf numFmtId="3" fontId="15" fillId="11" borderId="41" xfId="0" applyNumberFormat="1" applyFont="1" applyFill="1" applyBorder="1" applyAlignment="1">
      <alignment horizontal="center" vertical="center" wrapText="1"/>
    </xf>
    <xf numFmtId="0" fontId="16" fillId="12" borderId="41" xfId="0" applyFont="1" applyFill="1" applyBorder="1" applyAlignment="1">
      <alignment horizontal="left" vertical="center" wrapText="1"/>
    </xf>
    <xf numFmtId="3" fontId="15" fillId="12" borderId="41" xfId="0" applyNumberFormat="1" applyFont="1" applyFill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16" fillId="13" borderId="41" xfId="0" applyFont="1" applyFill="1" applyBorder="1" applyAlignment="1">
      <alignment horizontal="left" vertical="center" wrapText="1"/>
    </xf>
    <xf numFmtId="0" fontId="15" fillId="13" borderId="41" xfId="0" applyFont="1" applyFill="1" applyBorder="1" applyAlignment="1">
      <alignment horizontal="center" vertical="center" wrapText="1"/>
    </xf>
    <xf numFmtId="0" fontId="14" fillId="10" borderId="51" xfId="0" applyFont="1" applyFill="1" applyBorder="1" applyAlignment="1">
      <alignment horizontal="center" vertical="center" wrapText="1"/>
    </xf>
    <xf numFmtId="0" fontId="14" fillId="10" borderId="53" xfId="0" applyFont="1" applyFill="1" applyBorder="1" applyAlignment="1">
      <alignment horizontal="center" vertical="center" wrapText="1"/>
    </xf>
    <xf numFmtId="0" fontId="15" fillId="11" borderId="54" xfId="0" applyFont="1" applyFill="1" applyBorder="1" applyAlignment="1">
      <alignment horizontal="center" vertical="center" wrapText="1"/>
    </xf>
    <xf numFmtId="0" fontId="15" fillId="12" borderId="54" xfId="0" applyFont="1" applyFill="1" applyBorder="1" applyAlignment="1">
      <alignment horizontal="center" vertical="center" wrapText="1"/>
    </xf>
    <xf numFmtId="0" fontId="16" fillId="13" borderId="58" xfId="0" applyFont="1" applyFill="1" applyBorder="1" applyAlignment="1">
      <alignment horizontal="left" vertical="center" wrapText="1"/>
    </xf>
    <xf numFmtId="0" fontId="15" fillId="13" borderId="58" xfId="0" applyFont="1" applyFill="1" applyBorder="1" applyAlignment="1">
      <alignment horizontal="center" vertical="center" wrapText="1"/>
    </xf>
    <xf numFmtId="0" fontId="15" fillId="13" borderId="59" xfId="0" applyFont="1" applyFill="1" applyBorder="1" applyAlignment="1">
      <alignment horizontal="center" vertical="center" wrapText="1"/>
    </xf>
    <xf numFmtId="3" fontId="15" fillId="13" borderId="41" xfId="0" applyNumberFormat="1" applyFont="1" applyFill="1" applyBorder="1" applyAlignment="1">
      <alignment horizontal="center" vertical="center" wrapText="1"/>
    </xf>
    <xf numFmtId="3" fontId="15" fillId="11" borderId="54" xfId="0" applyNumberFormat="1" applyFont="1" applyFill="1" applyBorder="1" applyAlignment="1">
      <alignment horizontal="center" vertical="center" wrapText="1"/>
    </xf>
    <xf numFmtId="3" fontId="15" fillId="12" borderId="54" xfId="0" applyNumberFormat="1" applyFont="1" applyFill="1" applyBorder="1" applyAlignment="1">
      <alignment horizontal="center" vertical="center" wrapText="1"/>
    </xf>
    <xf numFmtId="0" fontId="15" fillId="13" borderId="54" xfId="0" applyFont="1" applyFill="1" applyBorder="1" applyAlignment="1">
      <alignment horizontal="center" vertical="center" wrapText="1"/>
    </xf>
    <xf numFmtId="0" fontId="0" fillId="0" borderId="60" xfId="0" applyBorder="1"/>
    <xf numFmtId="0" fontId="0" fillId="0" borderId="61" xfId="0" applyBorder="1"/>
    <xf numFmtId="178" fontId="0" fillId="0" borderId="0" xfId="2" applyNumberFormat="1" applyFont="1"/>
    <xf numFmtId="8" fontId="0" fillId="0" borderId="0" xfId="0" applyNumberFormat="1"/>
    <xf numFmtId="44" fontId="15" fillId="13" borderId="41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71" fontId="0" fillId="0" borderId="0" xfId="4" applyNumberFormat="1" applyFont="1"/>
    <xf numFmtId="164" fontId="0" fillId="0" borderId="0" xfId="1" applyFont="1"/>
    <xf numFmtId="3" fontId="0" fillId="0" borderId="0" xfId="0" applyNumberFormat="1"/>
    <xf numFmtId="172" fontId="15" fillId="13" borderId="41" xfId="0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 applyAlignment="1">
      <alignment horizontal="right" vertical="center" wrapText="1"/>
    </xf>
    <xf numFmtId="44" fontId="0" fillId="0" borderId="0" xfId="3" applyNumberFormat="1" applyFont="1" applyFill="1" applyBorder="1"/>
    <xf numFmtId="8" fontId="0" fillId="0" borderId="0" xfId="3" applyNumberFormat="1" applyFont="1" applyFill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2" fillId="0" borderId="12" xfId="0" applyFont="1" applyBorder="1"/>
    <xf numFmtId="0" fontId="4" fillId="0" borderId="64" xfId="0" applyFont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5" fontId="6" fillId="0" borderId="38" xfId="2" applyFont="1" applyFill="1" applyBorder="1" applyAlignment="1">
      <alignment horizontal="right" vertical="center" wrapText="1"/>
    </xf>
    <xf numFmtId="165" fontId="10" fillId="2" borderId="13" xfId="0" applyNumberFormat="1" applyFont="1" applyFill="1" applyBorder="1" applyAlignment="1">
      <alignment vertical="center"/>
    </xf>
    <xf numFmtId="165" fontId="5" fillId="7" borderId="13" xfId="2" applyFont="1" applyFill="1" applyBorder="1"/>
    <xf numFmtId="44" fontId="2" fillId="8" borderId="13" xfId="0" applyNumberFormat="1" applyFont="1" applyFill="1" applyBorder="1"/>
    <xf numFmtId="0" fontId="6" fillId="0" borderId="62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0" fillId="0" borderId="64" xfId="0" applyBorder="1"/>
    <xf numFmtId="0" fontId="0" fillId="0" borderId="62" xfId="0" applyBorder="1"/>
    <xf numFmtId="44" fontId="0" fillId="0" borderId="64" xfId="0" applyNumberFormat="1" applyBorder="1"/>
    <xf numFmtId="43" fontId="0" fillId="0" borderId="64" xfId="3" applyNumberFormat="1" applyFont="1" applyFill="1" applyBorder="1"/>
    <xf numFmtId="172" fontId="0" fillId="0" borderId="64" xfId="3" applyFont="1" applyFill="1" applyBorder="1"/>
    <xf numFmtId="0" fontId="5" fillId="0" borderId="62" xfId="0" applyFont="1" applyBorder="1" applyAlignment="1">
      <alignment vertical="center"/>
    </xf>
    <xf numFmtId="4" fontId="0" fillId="0" borderId="0" xfId="0" applyNumberFormat="1"/>
    <xf numFmtId="165" fontId="0" fillId="0" borderId="0" xfId="2" applyFont="1" applyBorder="1"/>
    <xf numFmtId="10" fontId="0" fillId="0" borderId="0" xfId="4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2" fillId="0" borderId="0" xfId="0" applyFont="1"/>
    <xf numFmtId="6" fontId="17" fillId="0" borderId="0" xfId="0" applyNumberFormat="1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5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2" fillId="0" borderId="0" xfId="0" applyFont="1"/>
    <xf numFmtId="0" fontId="0" fillId="0" borderId="24" xfId="0" applyBorder="1"/>
    <xf numFmtId="0" fontId="0" fillId="0" borderId="25" xfId="0" applyBorder="1"/>
    <xf numFmtId="0" fontId="0" fillId="0" borderId="67" xfId="0" applyBorder="1"/>
    <xf numFmtId="44" fontId="19" fillId="0" borderId="13" xfId="5" applyFont="1" applyBorder="1" applyAlignment="1">
      <alignment horizontal="center" vertical="center" wrapText="1"/>
    </xf>
    <xf numFmtId="167" fontId="6" fillId="0" borderId="16" xfId="0" applyNumberFormat="1" applyFont="1" applyBorder="1" applyAlignment="1">
      <alignment horizontal="center"/>
    </xf>
    <xf numFmtId="164" fontId="5" fillId="0" borderId="11" xfId="1" applyFont="1" applyFill="1" applyBorder="1" applyAlignment="1">
      <alignment horizontal="center" vertical="center" wrapText="1"/>
    </xf>
    <xf numFmtId="171" fontId="0" fillId="0" borderId="64" xfId="4" applyNumberFormat="1" applyFont="1" applyFill="1" applyBorder="1"/>
    <xf numFmtId="4" fontId="16" fillId="0" borderId="0" xfId="0" applyNumberFormat="1" applyFont="1"/>
    <xf numFmtId="170" fontId="10" fillId="15" borderId="30" xfId="4" applyNumberFormat="1" applyFont="1" applyFill="1" applyBorder="1" applyAlignment="1">
      <alignment horizontal="right" vertical="center"/>
    </xf>
    <xf numFmtId="165" fontId="10" fillId="15" borderId="7" xfId="2" applyFont="1" applyFill="1" applyBorder="1" applyAlignment="1">
      <alignment horizontal="center" vertical="center"/>
    </xf>
    <xf numFmtId="0" fontId="0" fillId="15" borderId="0" xfId="0" applyFill="1"/>
    <xf numFmtId="165" fontId="10" fillId="15" borderId="33" xfId="0" applyNumberFormat="1" applyFont="1" applyFill="1" applyBorder="1" applyAlignment="1">
      <alignment vertical="center"/>
    </xf>
    <xf numFmtId="44" fontId="0" fillId="15" borderId="34" xfId="0" applyNumberFormat="1" applyFill="1" applyBorder="1"/>
    <xf numFmtId="0" fontId="0" fillId="15" borderId="20" xfId="0" applyFill="1" applyBorder="1"/>
    <xf numFmtId="165" fontId="10" fillId="15" borderId="34" xfId="0" applyNumberFormat="1" applyFont="1" applyFill="1" applyBorder="1" applyAlignment="1">
      <alignment vertical="center"/>
    </xf>
    <xf numFmtId="165" fontId="10" fillId="15" borderId="32" xfId="0" applyNumberFormat="1" applyFont="1" applyFill="1" applyBorder="1" applyAlignment="1">
      <alignment vertical="center"/>
    </xf>
    <xf numFmtId="171" fontId="10" fillId="15" borderId="17" xfId="4" applyNumberFormat="1" applyFont="1" applyFill="1" applyBorder="1" applyAlignment="1">
      <alignment horizontal="right" vertical="center"/>
    </xf>
    <xf numFmtId="165" fontId="10" fillId="15" borderId="39" xfId="2" applyFont="1" applyFill="1" applyBorder="1" applyAlignment="1">
      <alignment horizontal="center" vertical="center"/>
    </xf>
    <xf numFmtId="0" fontId="0" fillId="15" borderId="16" xfId="0" applyFill="1" applyBorder="1"/>
    <xf numFmtId="165" fontId="10" fillId="15" borderId="13" xfId="0" applyNumberFormat="1" applyFont="1" applyFill="1" applyBorder="1" applyAlignment="1">
      <alignment vertical="center"/>
    </xf>
    <xf numFmtId="44" fontId="0" fillId="15" borderId="11" xfId="0" applyNumberFormat="1" applyFill="1" applyBorder="1"/>
    <xf numFmtId="172" fontId="0" fillId="15" borderId="12" xfId="3" applyFont="1" applyFill="1" applyBorder="1"/>
    <xf numFmtId="165" fontId="10" fillId="15" borderId="11" xfId="0" applyNumberFormat="1" applyFont="1" applyFill="1" applyBorder="1" applyAlignment="1">
      <alignment vertical="center"/>
    </xf>
    <xf numFmtId="165" fontId="10" fillId="15" borderId="14" xfId="0" applyNumberFormat="1" applyFont="1" applyFill="1" applyBorder="1" applyAlignment="1">
      <alignment vertical="center"/>
    </xf>
    <xf numFmtId="0" fontId="0" fillId="15" borderId="12" xfId="0" applyFill="1" applyBorder="1"/>
    <xf numFmtId="170" fontId="10" fillId="15" borderId="17" xfId="4" applyNumberFormat="1" applyFont="1" applyFill="1" applyBorder="1" applyAlignment="1">
      <alignment horizontal="right" vertical="center"/>
    </xf>
    <xf numFmtId="165" fontId="10" fillId="15" borderId="13" xfId="2" applyFont="1" applyFill="1" applyBorder="1" applyAlignment="1">
      <alignment vertical="center"/>
    </xf>
    <xf numFmtId="173" fontId="10" fillId="15" borderId="11" xfId="4" applyNumberFormat="1" applyFont="1" applyFill="1" applyBorder="1" applyAlignment="1">
      <alignment vertical="center"/>
    </xf>
    <xf numFmtId="0" fontId="10" fillId="15" borderId="17" xfId="0" applyFont="1" applyFill="1" applyBorder="1" applyAlignment="1">
      <alignment vertical="center"/>
    </xf>
    <xf numFmtId="0" fontId="10" fillId="15" borderId="15" xfId="0" applyFont="1" applyFill="1" applyBorder="1" applyAlignment="1">
      <alignment vertical="center"/>
    </xf>
    <xf numFmtId="44" fontId="2" fillId="15" borderId="11" xfId="0" applyNumberFormat="1" applyFont="1" applyFill="1" applyBorder="1"/>
    <xf numFmtId="172" fontId="10" fillId="15" borderId="13" xfId="0" applyNumberFormat="1" applyFont="1" applyFill="1" applyBorder="1" applyAlignment="1">
      <alignment vertical="center"/>
    </xf>
    <xf numFmtId="0" fontId="10" fillId="15" borderId="16" xfId="0" applyFont="1" applyFill="1" applyBorder="1" applyAlignment="1">
      <alignment vertical="center"/>
    </xf>
    <xf numFmtId="0" fontId="10" fillId="15" borderId="17" xfId="0" applyFont="1" applyFill="1" applyBorder="1" applyAlignment="1">
      <alignment vertical="center" wrapText="1"/>
    </xf>
    <xf numFmtId="0" fontId="10" fillId="15" borderId="16" xfId="0" applyFont="1" applyFill="1" applyBorder="1" applyAlignment="1">
      <alignment vertical="center" wrapText="1"/>
    </xf>
    <xf numFmtId="0" fontId="10" fillId="14" borderId="17" xfId="0" applyFont="1" applyFill="1" applyBorder="1" applyAlignment="1">
      <alignment vertical="center"/>
    </xf>
    <xf numFmtId="165" fontId="10" fillId="14" borderId="13" xfId="0" applyNumberFormat="1" applyFont="1" applyFill="1" applyBorder="1" applyAlignment="1">
      <alignment vertical="center"/>
    </xf>
    <xf numFmtId="0" fontId="10" fillId="14" borderId="16" xfId="0" applyFont="1" applyFill="1" applyBorder="1" applyAlignment="1">
      <alignment vertical="center"/>
    </xf>
    <xf numFmtId="44" fontId="0" fillId="14" borderId="11" xfId="0" applyNumberFormat="1" applyFill="1" applyBorder="1"/>
    <xf numFmtId="0" fontId="0" fillId="14" borderId="12" xfId="0" applyFill="1" applyBorder="1"/>
    <xf numFmtId="44" fontId="2" fillId="14" borderId="11" xfId="0" applyNumberFormat="1" applyFont="1" applyFill="1" applyBorder="1"/>
    <xf numFmtId="165" fontId="10" fillId="14" borderId="14" xfId="0" applyNumberFormat="1" applyFont="1" applyFill="1" applyBorder="1" applyAlignment="1">
      <alignment vertical="center"/>
    </xf>
    <xf numFmtId="0" fontId="0" fillId="14" borderId="0" xfId="0" applyFill="1"/>
    <xf numFmtId="0" fontId="10" fillId="16" borderId="17" xfId="0" applyFont="1" applyFill="1" applyBorder="1" applyAlignment="1">
      <alignment vertical="center"/>
    </xf>
    <xf numFmtId="165" fontId="10" fillId="16" borderId="13" xfId="0" applyNumberFormat="1" applyFont="1" applyFill="1" applyBorder="1" applyAlignment="1">
      <alignment vertical="center"/>
    </xf>
    <xf numFmtId="0" fontId="10" fillId="16" borderId="16" xfId="0" applyFont="1" applyFill="1" applyBorder="1" applyAlignment="1">
      <alignment vertical="center"/>
    </xf>
    <xf numFmtId="44" fontId="0" fillId="16" borderId="11" xfId="0" applyNumberFormat="1" applyFill="1" applyBorder="1"/>
    <xf numFmtId="0" fontId="0" fillId="16" borderId="12" xfId="0" applyFill="1" applyBorder="1"/>
    <xf numFmtId="44" fontId="2" fillId="16" borderId="11" xfId="0" applyNumberFormat="1" applyFont="1" applyFill="1" applyBorder="1"/>
    <xf numFmtId="165" fontId="10" fillId="16" borderId="14" xfId="0" applyNumberFormat="1" applyFont="1" applyFill="1" applyBorder="1" applyAlignment="1">
      <alignment vertical="center"/>
    </xf>
    <xf numFmtId="0" fontId="0" fillId="16" borderId="0" xfId="0" applyFill="1"/>
    <xf numFmtId="179" fontId="1" fillId="0" borderId="0" xfId="2" applyNumberFormat="1" applyFont="1" applyFill="1" applyBorder="1" applyAlignment="1">
      <alignment vertical="center" wrapText="1"/>
    </xf>
    <xf numFmtId="173" fontId="0" fillId="0" borderId="64" xfId="4" applyNumberFormat="1" applyFont="1" applyFill="1" applyBorder="1"/>
    <xf numFmtId="10" fontId="0" fillId="0" borderId="64" xfId="4" applyNumberFormat="1" applyFont="1" applyFill="1" applyBorder="1"/>
    <xf numFmtId="181" fontId="2" fillId="0" borderId="0" xfId="0" applyNumberFormat="1" applyFont="1" applyAlignment="1">
      <alignment horizontal="center"/>
    </xf>
    <xf numFmtId="44" fontId="19" fillId="0" borderId="13" xfId="16" applyFont="1" applyBorder="1" applyAlignment="1">
      <alignment horizontal="center" vertical="center" wrapText="1"/>
    </xf>
    <xf numFmtId="44" fontId="9" fillId="0" borderId="13" xfId="16" applyFont="1" applyBorder="1" applyAlignment="1">
      <alignment horizontal="left" vertical="center" wrapText="1"/>
    </xf>
    <xf numFmtId="167" fontId="6" fillId="0" borderId="16" xfId="0" applyNumberFormat="1" applyFont="1" applyBorder="1" applyAlignment="1">
      <alignment horizontal="right" vertical="center"/>
    </xf>
    <xf numFmtId="167" fontId="6" fillId="3" borderId="11" xfId="0" applyNumberFormat="1" applyFont="1" applyFill="1" applyBorder="1" applyAlignment="1">
      <alignment horizontal="right" vertical="center"/>
    </xf>
    <xf numFmtId="167" fontId="6" fillId="3" borderId="12" xfId="0" applyNumberFormat="1" applyFont="1" applyFill="1" applyBorder="1" applyAlignment="1">
      <alignment horizontal="right" vertical="center"/>
    </xf>
    <xf numFmtId="167" fontId="6" fillId="3" borderId="21" xfId="0" applyNumberFormat="1" applyFont="1" applyFill="1" applyBorder="1" applyAlignment="1">
      <alignment horizontal="right" vertical="center"/>
    </xf>
    <xf numFmtId="167" fontId="6" fillId="3" borderId="18" xfId="0" applyNumberFormat="1" applyFont="1" applyFill="1" applyBorder="1" applyAlignment="1">
      <alignment horizontal="right" vertical="center"/>
    </xf>
    <xf numFmtId="168" fontId="6" fillId="0" borderId="12" xfId="0" applyNumberFormat="1" applyFont="1" applyBorder="1" applyAlignment="1">
      <alignment vertical="center"/>
    </xf>
    <xf numFmtId="49" fontId="5" fillId="17" borderId="11" xfId="0" applyNumberFormat="1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justify" vertical="center" wrapText="1"/>
    </xf>
    <xf numFmtId="164" fontId="8" fillId="17" borderId="15" xfId="0" applyNumberFormat="1" applyFont="1" applyFill="1" applyBorder="1" applyAlignment="1">
      <alignment vertical="center"/>
    </xf>
    <xf numFmtId="164" fontId="8" fillId="17" borderId="17" xfId="0" applyNumberFormat="1" applyFont="1" applyFill="1" applyBorder="1" applyAlignment="1">
      <alignment vertical="center"/>
    </xf>
    <xf numFmtId="164" fontId="8" fillId="17" borderId="38" xfId="0" applyNumberFormat="1" applyFont="1" applyFill="1" applyBorder="1" applyAlignment="1">
      <alignment vertical="center"/>
    </xf>
    <xf numFmtId="165" fontId="6" fillId="17" borderId="15" xfId="2" applyFont="1" applyFill="1" applyBorder="1" applyAlignment="1">
      <alignment horizontal="center" vertical="center" wrapText="1"/>
    </xf>
    <xf numFmtId="167" fontId="6" fillId="17" borderId="15" xfId="0" applyNumberFormat="1" applyFont="1" applyFill="1" applyBorder="1" applyAlignment="1">
      <alignment horizontal="right" vertical="center"/>
    </xf>
    <xf numFmtId="167" fontId="6" fillId="17" borderId="15" xfId="0" applyNumberFormat="1" applyFont="1" applyFill="1" applyBorder="1" applyAlignment="1">
      <alignment vertical="center"/>
    </xf>
    <xf numFmtId="164" fontId="10" fillId="17" borderId="15" xfId="0" applyNumberFormat="1" applyFont="1" applyFill="1" applyBorder="1" applyAlignment="1">
      <alignment horizontal="right" vertical="center"/>
    </xf>
    <xf numFmtId="165" fontId="6" fillId="17" borderId="68" xfId="2" applyFont="1" applyFill="1" applyBorder="1" applyAlignment="1">
      <alignment horizontal="right" vertical="center" wrapText="1"/>
    </xf>
    <xf numFmtId="165" fontId="6" fillId="0" borderId="12" xfId="2" applyFont="1" applyFill="1" applyBorder="1" applyAlignment="1">
      <alignment horizontal="right" vertical="center" wrapText="1"/>
    </xf>
    <xf numFmtId="167" fontId="6" fillId="0" borderId="12" xfId="0" applyNumberFormat="1" applyFont="1" applyBorder="1" applyAlignment="1">
      <alignment horizontal="right" vertical="center"/>
    </xf>
    <xf numFmtId="165" fontId="6" fillId="17" borderId="38" xfId="2" applyFont="1" applyFill="1" applyBorder="1" applyAlignment="1">
      <alignment horizontal="right" vertical="center" wrapText="1"/>
    </xf>
    <xf numFmtId="44" fontId="9" fillId="17" borderId="38" xfId="5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22" fillId="17" borderId="38" xfId="5" applyFont="1" applyFill="1" applyBorder="1" applyAlignment="1">
      <alignment horizontal="center" vertical="center" wrapText="1"/>
    </xf>
    <xf numFmtId="165" fontId="10" fillId="14" borderId="66" xfId="0" applyNumberFormat="1" applyFont="1" applyFill="1" applyBorder="1" applyAlignment="1">
      <alignment vertical="center"/>
    </xf>
    <xf numFmtId="182" fontId="1" fillId="0" borderId="0" xfId="2" applyNumberFormat="1" applyFont="1" applyFill="1" applyBorder="1" applyAlignment="1">
      <alignment horizontal="center" vertical="center" wrapText="1"/>
    </xf>
    <xf numFmtId="171" fontId="0" fillId="0" borderId="0" xfId="4" applyNumberFormat="1" applyFont="1" applyFill="1" applyBorder="1"/>
    <xf numFmtId="178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0" fontId="24" fillId="19" borderId="69" xfId="0" applyFont="1" applyFill="1" applyBorder="1" applyAlignment="1">
      <alignment vertical="center"/>
    </xf>
    <xf numFmtId="0" fontId="24" fillId="0" borderId="69" xfId="0" applyFont="1" applyBorder="1" applyAlignment="1">
      <alignment vertical="center"/>
    </xf>
    <xf numFmtId="165" fontId="0" fillId="0" borderId="12" xfId="2" applyFont="1" applyBorder="1"/>
    <xf numFmtId="165" fontId="0" fillId="20" borderId="12" xfId="2" applyFont="1" applyFill="1" applyBorder="1"/>
    <xf numFmtId="0" fontId="0" fillId="20" borderId="0" xfId="0" applyFill="1"/>
    <xf numFmtId="165" fontId="0" fillId="20" borderId="0" xfId="2" applyFont="1" applyFill="1"/>
    <xf numFmtId="44" fontId="9" fillId="0" borderId="13" xfId="5" applyFont="1" applyFill="1" applyBorder="1" applyAlignment="1">
      <alignment horizontal="center" vertical="center" wrapText="1"/>
    </xf>
    <xf numFmtId="44" fontId="7" fillId="0" borderId="13" xfId="5" applyFont="1" applyFill="1" applyBorder="1" applyAlignment="1">
      <alignment horizontal="center" vertical="center" wrapText="1"/>
    </xf>
    <xf numFmtId="165" fontId="5" fillId="3" borderId="15" xfId="2" applyFont="1" applyFill="1" applyBorder="1" applyAlignment="1">
      <alignment vertical="center" wrapText="1"/>
    </xf>
    <xf numFmtId="165" fontId="5" fillId="3" borderId="15" xfId="2" applyFont="1" applyFill="1" applyBorder="1" applyAlignment="1">
      <alignment horizontal="right" vertical="center" wrapText="1"/>
    </xf>
    <xf numFmtId="165" fontId="5" fillId="6" borderId="15" xfId="2" applyFont="1" applyFill="1" applyBorder="1" applyAlignment="1">
      <alignment horizontal="right" vertical="center" wrapText="1"/>
    </xf>
    <xf numFmtId="165" fontId="5" fillId="3" borderId="68" xfId="2" applyFont="1" applyFill="1" applyBorder="1" applyAlignment="1">
      <alignment horizontal="right" vertical="center" wrapText="1"/>
    </xf>
    <xf numFmtId="44" fontId="22" fillId="17" borderId="15" xfId="5" applyFont="1" applyFill="1" applyBorder="1" applyAlignment="1">
      <alignment horizontal="center" vertical="center" wrapText="1"/>
    </xf>
    <xf numFmtId="165" fontId="5" fillId="2" borderId="37" xfId="2" applyFont="1" applyFill="1" applyBorder="1" applyAlignment="1">
      <alignment vertical="center"/>
    </xf>
    <xf numFmtId="165" fontId="10" fillId="15" borderId="31" xfId="0" applyNumberFormat="1" applyFont="1" applyFill="1" applyBorder="1" applyAlignment="1">
      <alignment vertical="center"/>
    </xf>
    <xf numFmtId="165" fontId="10" fillId="15" borderId="15" xfId="0" applyNumberFormat="1" applyFont="1" applyFill="1" applyBorder="1" applyAlignment="1">
      <alignment vertical="center"/>
    </xf>
    <xf numFmtId="165" fontId="10" fillId="14" borderId="15" xfId="0" applyNumberFormat="1" applyFont="1" applyFill="1" applyBorder="1" applyAlignment="1">
      <alignment vertical="center"/>
    </xf>
    <xf numFmtId="165" fontId="10" fillId="16" borderId="15" xfId="0" applyNumberFormat="1" applyFont="1" applyFill="1" applyBorder="1" applyAlignment="1">
      <alignment vertical="center"/>
    </xf>
    <xf numFmtId="165" fontId="10" fillId="2" borderId="68" xfId="0" applyNumberFormat="1" applyFont="1" applyFill="1" applyBorder="1" applyAlignment="1">
      <alignment vertical="center"/>
    </xf>
    <xf numFmtId="167" fontId="6" fillId="0" borderId="16" xfId="0" applyNumberFormat="1" applyFont="1" applyBorder="1"/>
    <xf numFmtId="2" fontId="6" fillId="0" borderId="12" xfId="0" applyNumberFormat="1" applyFont="1" applyBorder="1"/>
    <xf numFmtId="44" fontId="19" fillId="0" borderId="13" xfId="5" applyFont="1" applyFill="1" applyBorder="1" applyAlignment="1">
      <alignment horizontal="center" vertical="center" wrapText="1"/>
    </xf>
    <xf numFmtId="167" fontId="5" fillId="0" borderId="11" xfId="0" applyNumberFormat="1" applyFont="1" applyBorder="1"/>
    <xf numFmtId="2" fontId="6" fillId="0" borderId="12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2" fontId="6" fillId="0" borderId="11" xfId="0" applyNumberFormat="1" applyFont="1" applyBorder="1" applyAlignment="1">
      <alignment vertical="center"/>
    </xf>
    <xf numFmtId="167" fontId="6" fillId="0" borderId="11" xfId="0" applyNumberFormat="1" applyFont="1" applyBorder="1" applyAlignment="1">
      <alignment horizontal="right" vertical="center"/>
    </xf>
    <xf numFmtId="167" fontId="5" fillId="0" borderId="16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2" fontId="5" fillId="0" borderId="12" xfId="0" applyNumberFormat="1" applyFont="1" applyBorder="1"/>
    <xf numFmtId="2" fontId="5" fillId="0" borderId="12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168" fontId="5" fillId="0" borderId="12" xfId="0" applyNumberFormat="1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2" fontId="5" fillId="4" borderId="11" xfId="0" applyNumberFormat="1" applyFont="1" applyFill="1" applyBorder="1" applyAlignment="1">
      <alignment vertical="center"/>
    </xf>
    <xf numFmtId="167" fontId="5" fillId="0" borderId="21" xfId="0" applyNumberFormat="1" applyFont="1" applyBorder="1" applyAlignment="1">
      <alignment vertical="center"/>
    </xf>
    <xf numFmtId="2" fontId="5" fillId="0" borderId="21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 vertical="center"/>
    </xf>
    <xf numFmtId="167" fontId="5" fillId="0" borderId="12" xfId="0" applyNumberFormat="1" applyFont="1" applyBorder="1" applyAlignment="1">
      <alignment horizontal="right" vertical="center"/>
    </xf>
    <xf numFmtId="167" fontId="5" fillId="22" borderId="11" xfId="0" applyNumberFormat="1" applyFont="1" applyFill="1" applyBorder="1"/>
    <xf numFmtId="167" fontId="5" fillId="20" borderId="16" xfId="0" applyNumberFormat="1" applyFont="1" applyFill="1" applyBorder="1"/>
    <xf numFmtId="167" fontId="5" fillId="21" borderId="11" xfId="0" applyNumberFormat="1" applyFont="1" applyFill="1" applyBorder="1"/>
    <xf numFmtId="165" fontId="6" fillId="0" borderId="17" xfId="2" applyFont="1" applyBorder="1" applyAlignment="1">
      <alignment horizontal="center" vertical="center" wrapText="1"/>
    </xf>
    <xf numFmtId="167" fontId="6" fillId="0" borderId="35" xfId="0" applyNumberFormat="1" applyFont="1" applyBorder="1" applyAlignment="1">
      <alignment horizontal="right" vertical="center"/>
    </xf>
    <xf numFmtId="44" fontId="9" fillId="0" borderId="22" xfId="5" applyFont="1" applyBorder="1" applyAlignment="1">
      <alignment horizontal="center" vertical="center" wrapText="1"/>
    </xf>
    <xf numFmtId="167" fontId="6" fillId="0" borderId="17" xfId="0" applyNumberFormat="1" applyFont="1" applyBorder="1" applyAlignment="1">
      <alignment vertical="center"/>
    </xf>
    <xf numFmtId="44" fontId="9" fillId="0" borderId="38" xfId="5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right" vertical="center"/>
    </xf>
    <xf numFmtId="167" fontId="6" fillId="0" borderId="18" xfId="0" applyNumberFormat="1" applyFont="1" applyBorder="1" applyAlignment="1">
      <alignment horizontal="right" vertical="center"/>
    </xf>
    <xf numFmtId="44" fontId="7" fillId="0" borderId="22" xfId="5" applyFont="1" applyBorder="1" applyAlignment="1">
      <alignment horizontal="center" vertical="center" wrapText="1"/>
    </xf>
    <xf numFmtId="167" fontId="6" fillId="0" borderId="21" xfId="0" applyNumberFormat="1" applyFont="1" applyBorder="1"/>
    <xf numFmtId="167" fontId="6" fillId="0" borderId="35" xfId="0" applyNumberFormat="1" applyFont="1" applyBorder="1"/>
    <xf numFmtId="44" fontId="9" fillId="0" borderId="17" xfId="5" applyFont="1" applyBorder="1" applyAlignment="1">
      <alignment horizontal="center" vertical="center" wrapText="1"/>
    </xf>
    <xf numFmtId="165" fontId="5" fillId="2" borderId="36" xfId="2" applyFont="1" applyFill="1" applyBorder="1" applyAlignment="1">
      <alignment vertical="center"/>
    </xf>
    <xf numFmtId="165" fontId="5" fillId="2" borderId="72" xfId="2" applyFont="1" applyFill="1" applyBorder="1" applyAlignment="1">
      <alignment vertical="center"/>
    </xf>
    <xf numFmtId="164" fontId="5" fillId="0" borderId="21" xfId="1" applyFont="1" applyFill="1" applyBorder="1" applyAlignment="1">
      <alignment horizontal="center" vertical="center" wrapText="1"/>
    </xf>
    <xf numFmtId="169" fontId="8" fillId="5" borderId="17" xfId="0" applyNumberFormat="1" applyFont="1" applyFill="1" applyBorder="1" applyAlignment="1">
      <alignment horizontal="right" vertical="center"/>
    </xf>
    <xf numFmtId="167" fontId="6" fillId="0" borderId="14" xfId="0" applyNumberFormat="1" applyFont="1" applyBorder="1" applyAlignment="1">
      <alignment vertical="center"/>
    </xf>
    <xf numFmtId="44" fontId="9" fillId="0" borderId="14" xfId="5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165" fontId="6" fillId="0" borderId="0" xfId="2" applyFont="1" applyFill="1" applyBorder="1" applyAlignment="1">
      <alignment horizontal="right" vertical="center" wrapText="1"/>
    </xf>
    <xf numFmtId="165" fontId="5" fillId="3" borderId="0" xfId="2" applyFont="1" applyFill="1" applyBorder="1" applyAlignment="1">
      <alignment horizontal="right" vertical="center" wrapText="1"/>
    </xf>
    <xf numFmtId="165" fontId="5" fillId="6" borderId="0" xfId="2" applyFont="1" applyFill="1" applyBorder="1" applyAlignment="1">
      <alignment horizontal="right" vertical="center" wrapText="1"/>
    </xf>
    <xf numFmtId="165" fontId="6" fillId="17" borderId="0" xfId="2" applyFont="1" applyFill="1" applyBorder="1" applyAlignment="1">
      <alignment horizontal="right" vertical="center" wrapText="1"/>
    </xf>
    <xf numFmtId="165" fontId="5" fillId="2" borderId="0" xfId="2" applyFont="1" applyFill="1" applyBorder="1" applyAlignment="1">
      <alignment vertical="center"/>
    </xf>
    <xf numFmtId="165" fontId="10" fillId="15" borderId="0" xfId="0" applyNumberFormat="1" applyFont="1" applyFill="1" applyBorder="1" applyAlignment="1">
      <alignment vertical="center"/>
    </xf>
    <xf numFmtId="172" fontId="10" fillId="15" borderId="0" xfId="0" applyNumberFormat="1" applyFont="1" applyFill="1" applyBorder="1" applyAlignment="1">
      <alignment vertical="center"/>
    </xf>
    <xf numFmtId="165" fontId="10" fillId="14" borderId="0" xfId="0" applyNumberFormat="1" applyFont="1" applyFill="1" applyBorder="1" applyAlignment="1">
      <alignment vertical="center"/>
    </xf>
    <xf numFmtId="165" fontId="10" fillId="16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165" fontId="5" fillId="7" borderId="0" xfId="2" applyFont="1" applyFill="1" applyBorder="1"/>
    <xf numFmtId="44" fontId="2" fillId="8" borderId="0" xfId="0" applyNumberFormat="1" applyFont="1" applyFill="1" applyBorder="1"/>
    <xf numFmtId="0" fontId="0" fillId="0" borderId="0" xfId="0" applyBorder="1"/>
    <xf numFmtId="44" fontId="0" fillId="0" borderId="0" xfId="0" applyNumberFormat="1" applyBorder="1"/>
    <xf numFmtId="171" fontId="0" fillId="0" borderId="0" xfId="4" applyNumberFormat="1" applyFont="1" applyBorder="1"/>
    <xf numFmtId="10" fontId="0" fillId="0" borderId="0" xfId="4" applyNumberFormat="1" applyFont="1" applyFill="1" applyBorder="1"/>
    <xf numFmtId="173" fontId="0" fillId="0" borderId="0" xfId="4" applyNumberFormat="1" applyFont="1" applyFill="1" applyBorder="1"/>
    <xf numFmtId="174" fontId="0" fillId="0" borderId="0" xfId="0" applyNumberFormat="1" applyFill="1"/>
    <xf numFmtId="44" fontId="0" fillId="0" borderId="0" xfId="0" applyNumberFormat="1" applyAlignment="1"/>
    <xf numFmtId="3" fontId="27" fillId="13" borderId="41" xfId="0" applyNumberFormat="1" applyFont="1" applyFill="1" applyBorder="1" applyAlignment="1">
      <alignment horizontal="center" vertical="center" wrapText="1"/>
    </xf>
    <xf numFmtId="10" fontId="0" fillId="0" borderId="0" xfId="4" applyNumberFormat="1" applyFont="1" applyAlignment="1"/>
    <xf numFmtId="183" fontId="26" fillId="0" borderId="0" xfId="4" applyNumberFormat="1" applyFont="1"/>
    <xf numFmtId="165" fontId="0" fillId="0" borderId="64" xfId="2" applyFont="1" applyBorder="1"/>
    <xf numFmtId="0" fontId="28" fillId="10" borderId="42" xfId="0" applyFont="1" applyFill="1" applyBorder="1" applyAlignment="1">
      <alignment horizontal="center" vertical="center" wrapText="1"/>
    </xf>
    <xf numFmtId="0" fontId="28" fillId="10" borderId="43" xfId="0" applyFont="1" applyFill="1" applyBorder="1" applyAlignment="1">
      <alignment horizontal="center" vertical="center" wrapText="1"/>
    </xf>
    <xf numFmtId="0" fontId="26" fillId="11" borderId="41" xfId="0" applyFont="1" applyFill="1" applyBorder="1" applyAlignment="1">
      <alignment horizontal="left" vertical="center" wrapText="1"/>
    </xf>
    <xf numFmtId="0" fontId="27" fillId="11" borderId="41" xfId="0" applyFont="1" applyFill="1" applyBorder="1" applyAlignment="1">
      <alignment horizontal="center" vertical="center" wrapText="1"/>
    </xf>
    <xf numFmtId="3" fontId="27" fillId="11" borderId="41" xfId="0" applyNumberFormat="1" applyFont="1" applyFill="1" applyBorder="1" applyAlignment="1">
      <alignment horizontal="center" vertical="center" wrapText="1"/>
    </xf>
    <xf numFmtId="0" fontId="26" fillId="12" borderId="41" xfId="0" applyFont="1" applyFill="1" applyBorder="1" applyAlignment="1">
      <alignment horizontal="left" vertical="center" wrapText="1"/>
    </xf>
    <xf numFmtId="3" fontId="27" fillId="12" borderId="41" xfId="0" applyNumberFormat="1" applyFont="1" applyFill="1" applyBorder="1" applyAlignment="1">
      <alignment horizontal="center" vertical="center" wrapText="1"/>
    </xf>
    <xf numFmtId="0" fontId="27" fillId="12" borderId="41" xfId="0" applyFont="1" applyFill="1" applyBorder="1" applyAlignment="1">
      <alignment horizontal="center" vertical="center" wrapText="1"/>
    </xf>
    <xf numFmtId="0" fontId="26" fillId="13" borderId="41" xfId="0" applyFont="1" applyFill="1" applyBorder="1" applyAlignment="1">
      <alignment horizontal="left" vertical="center" wrapText="1"/>
    </xf>
    <xf numFmtId="0" fontId="27" fillId="13" borderId="41" xfId="0" applyFont="1" applyFill="1" applyBorder="1" applyAlignment="1">
      <alignment horizontal="center" vertical="center" wrapText="1"/>
    </xf>
    <xf numFmtId="0" fontId="28" fillId="10" borderId="51" xfId="0" applyFont="1" applyFill="1" applyBorder="1" applyAlignment="1">
      <alignment horizontal="center" vertical="center" wrapText="1"/>
    </xf>
    <xf numFmtId="0" fontId="28" fillId="10" borderId="53" xfId="0" applyFont="1" applyFill="1" applyBorder="1" applyAlignment="1">
      <alignment horizontal="center" vertical="center" wrapText="1"/>
    </xf>
    <xf numFmtId="0" fontId="27" fillId="11" borderId="54" xfId="0" applyFont="1" applyFill="1" applyBorder="1" applyAlignment="1">
      <alignment horizontal="center" vertical="center" wrapText="1"/>
    </xf>
    <xf numFmtId="0" fontId="27" fillId="12" borderId="54" xfId="0" applyFont="1" applyFill="1" applyBorder="1" applyAlignment="1">
      <alignment horizontal="center" vertical="center" wrapText="1"/>
    </xf>
    <xf numFmtId="0" fontId="26" fillId="13" borderId="58" xfId="0" applyFont="1" applyFill="1" applyBorder="1" applyAlignment="1">
      <alignment horizontal="left" vertical="center" wrapText="1"/>
    </xf>
    <xf numFmtId="0" fontId="27" fillId="13" borderId="58" xfId="0" applyFont="1" applyFill="1" applyBorder="1" applyAlignment="1">
      <alignment horizontal="center" vertical="center" wrapText="1"/>
    </xf>
    <xf numFmtId="0" fontId="27" fillId="13" borderId="59" xfId="0" applyFont="1" applyFill="1" applyBorder="1" applyAlignment="1">
      <alignment horizontal="center" vertical="center" wrapText="1"/>
    </xf>
    <xf numFmtId="3" fontId="27" fillId="13" borderId="54" xfId="0" applyNumberFormat="1" applyFont="1" applyFill="1" applyBorder="1" applyAlignment="1">
      <alignment horizontal="center" vertical="center" wrapText="1"/>
    </xf>
    <xf numFmtId="0" fontId="27" fillId="13" borderId="54" xfId="0" applyFont="1" applyFill="1" applyBorder="1" applyAlignment="1">
      <alignment horizontal="center" vertical="center" wrapText="1"/>
    </xf>
    <xf numFmtId="3" fontId="27" fillId="13" borderId="58" xfId="0" applyNumberFormat="1" applyFont="1" applyFill="1" applyBorder="1" applyAlignment="1">
      <alignment horizontal="center" vertical="center" wrapText="1"/>
    </xf>
    <xf numFmtId="8" fontId="29" fillId="23" borderId="73" xfId="0" applyNumberFormat="1" applyFont="1" applyFill="1" applyBorder="1" applyAlignment="1">
      <alignment horizontal="right" vertical="top" wrapText="1"/>
    </xf>
    <xf numFmtId="10" fontId="1" fillId="0" borderId="0" xfId="4" applyNumberFormat="1" applyFont="1" applyFill="1" applyBorder="1" applyAlignment="1">
      <alignment horizontal="center" vertical="center" wrapText="1"/>
    </xf>
    <xf numFmtId="0" fontId="30" fillId="0" borderId="0" xfId="0" applyFont="1"/>
    <xf numFmtId="8" fontId="25" fillId="19" borderId="70" xfId="0" applyNumberFormat="1" applyFont="1" applyFill="1" applyBorder="1" applyAlignment="1">
      <alignment horizontal="center" vertical="center" wrapText="1"/>
    </xf>
    <xf numFmtId="8" fontId="25" fillId="19" borderId="0" xfId="0" applyNumberFormat="1" applyFont="1" applyFill="1" applyAlignment="1">
      <alignment horizontal="center" vertical="center" wrapText="1"/>
    </xf>
    <xf numFmtId="165" fontId="25" fillId="19" borderId="70" xfId="0" applyNumberFormat="1" applyFont="1" applyFill="1" applyBorder="1" applyAlignment="1">
      <alignment horizontal="center" vertical="center" wrapText="1"/>
    </xf>
    <xf numFmtId="44" fontId="25" fillId="19" borderId="70" xfId="0" applyNumberFormat="1" applyFont="1" applyFill="1" applyBorder="1" applyAlignment="1">
      <alignment horizontal="center" vertical="center" wrapText="1"/>
    </xf>
    <xf numFmtId="0" fontId="24" fillId="18" borderId="71" xfId="0" applyFont="1" applyFill="1" applyBorder="1" applyAlignment="1">
      <alignment horizontal="center" vertical="center"/>
    </xf>
    <xf numFmtId="0" fontId="24" fillId="18" borderId="0" xfId="0" applyFont="1" applyFill="1" applyAlignment="1">
      <alignment horizontal="center" vertical="center"/>
    </xf>
    <xf numFmtId="0" fontId="0" fillId="3" borderId="17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44" fontId="0" fillId="0" borderId="12" xfId="0" applyNumberFormat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165" fontId="6" fillId="0" borderId="14" xfId="2" applyFont="1" applyBorder="1" applyAlignment="1">
      <alignment horizontal="center" vertical="center" wrapText="1"/>
    </xf>
    <xf numFmtId="165" fontId="6" fillId="0" borderId="15" xfId="2" applyFont="1" applyBorder="1" applyAlignment="1">
      <alignment horizontal="center" vertical="center" wrapText="1"/>
    </xf>
    <xf numFmtId="165" fontId="6" fillId="0" borderId="14" xfId="2" applyFont="1" applyFill="1" applyBorder="1" applyAlignment="1">
      <alignment horizontal="center" vertical="center" wrapText="1"/>
    </xf>
    <xf numFmtId="165" fontId="6" fillId="0" borderId="15" xfId="2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1" fillId="0" borderId="12" xfId="2" applyFont="1" applyFill="1" applyBorder="1" applyAlignment="1">
      <alignment horizontal="center" vertical="center" wrapText="1"/>
    </xf>
    <xf numFmtId="44" fontId="1" fillId="0" borderId="12" xfId="2" applyNumberFormat="1" applyFont="1" applyFill="1" applyBorder="1" applyAlignment="1">
      <alignment horizontal="center" vertical="center" wrapText="1"/>
    </xf>
    <xf numFmtId="10" fontId="2" fillId="0" borderId="12" xfId="4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0" fillId="15" borderId="3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/>
    </xf>
    <xf numFmtId="0" fontId="10" fillId="15" borderId="31" xfId="0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4" fontId="2" fillId="2" borderId="12" xfId="0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 wrapText="1"/>
    </xf>
    <xf numFmtId="165" fontId="6" fillId="0" borderId="23" xfId="2" applyFont="1" applyBorder="1" applyAlignment="1">
      <alignment horizontal="center" vertical="center" wrapText="1"/>
    </xf>
    <xf numFmtId="165" fontId="6" fillId="0" borderId="68" xfId="2" applyFont="1" applyBorder="1" applyAlignment="1">
      <alignment horizontal="center" vertical="center" wrapText="1"/>
    </xf>
    <xf numFmtId="10" fontId="2" fillId="0" borderId="12" xfId="4" applyNumberFormat="1" applyFont="1" applyBorder="1" applyAlignment="1">
      <alignment horizontal="center"/>
    </xf>
    <xf numFmtId="10" fontId="0" fillId="0" borderId="0" xfId="4" applyNumberFormat="1" applyFont="1" applyBorder="1" applyAlignment="1">
      <alignment horizontal="center"/>
    </xf>
    <xf numFmtId="10" fontId="2" fillId="0" borderId="0" xfId="4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1" fillId="0" borderId="0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10" fillId="15" borderId="17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5" borderId="38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0" fillId="14" borderId="38" xfId="0" applyFont="1" applyFill="1" applyBorder="1" applyAlignment="1">
      <alignment horizontal="center" vertical="center"/>
    </xf>
    <xf numFmtId="0" fontId="10" fillId="16" borderId="17" xfId="0" applyFont="1" applyFill="1" applyBorder="1" applyAlignment="1">
      <alignment horizontal="center" vertical="center"/>
    </xf>
    <xf numFmtId="0" fontId="10" fillId="16" borderId="15" xfId="0" applyFont="1" applyFill="1" applyBorder="1" applyAlignment="1">
      <alignment horizontal="center" vertical="center"/>
    </xf>
    <xf numFmtId="0" fontId="10" fillId="16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left" vertical="center" wrapText="1"/>
    </xf>
    <xf numFmtId="0" fontId="28" fillId="10" borderId="46" xfId="0" applyFont="1" applyFill="1" applyBorder="1" applyAlignment="1">
      <alignment horizontal="left" vertical="center" wrapText="1"/>
    </xf>
    <xf numFmtId="0" fontId="28" fillId="10" borderId="47" xfId="0" applyFont="1" applyFill="1" applyBorder="1" applyAlignment="1">
      <alignment horizontal="left" vertical="center" wrapText="1"/>
    </xf>
    <xf numFmtId="0" fontId="26" fillId="9" borderId="48" xfId="0" applyFont="1" applyFill="1" applyBorder="1" applyAlignment="1">
      <alignment horizontal="left" vertical="center" wrapText="1"/>
    </xf>
    <xf numFmtId="0" fontId="26" fillId="9" borderId="40" xfId="0" applyFont="1" applyFill="1" applyBorder="1" applyAlignment="1">
      <alignment horizontal="left" vertical="center" wrapText="1"/>
    </xf>
    <xf numFmtId="0" fontId="26" fillId="9" borderId="49" xfId="0" applyFont="1" applyFill="1" applyBorder="1" applyAlignment="1">
      <alignment horizontal="left" vertical="center" wrapText="1"/>
    </xf>
    <xf numFmtId="0" fontId="28" fillId="10" borderId="50" xfId="0" applyFont="1" applyFill="1" applyBorder="1" applyAlignment="1">
      <alignment horizontal="center" vertical="center" wrapText="1"/>
    </xf>
    <xf numFmtId="0" fontId="28" fillId="10" borderId="52" xfId="0" applyFont="1" applyFill="1" applyBorder="1" applyAlignment="1">
      <alignment horizontal="center" vertical="center" wrapText="1"/>
    </xf>
    <xf numFmtId="0" fontId="28" fillId="10" borderId="42" xfId="0" applyFont="1" applyFill="1" applyBorder="1" applyAlignment="1">
      <alignment horizontal="center" vertical="center" wrapText="1"/>
    </xf>
    <xf numFmtId="0" fontId="28" fillId="10" borderId="43" xfId="0" applyFont="1" applyFill="1" applyBorder="1" applyAlignment="1">
      <alignment horizontal="center" vertical="center" wrapText="1"/>
    </xf>
    <xf numFmtId="0" fontId="27" fillId="9" borderId="50" xfId="0" applyFont="1" applyFill="1" applyBorder="1" applyAlignment="1">
      <alignment horizontal="center" vertical="center" wrapText="1"/>
    </xf>
    <xf numFmtId="0" fontId="27" fillId="9" borderId="55" xfId="0" applyFont="1" applyFill="1" applyBorder="1" applyAlignment="1">
      <alignment horizontal="center" vertical="center" wrapText="1"/>
    </xf>
    <xf numFmtId="0" fontId="27" fillId="9" borderId="56" xfId="0" applyFont="1" applyFill="1" applyBorder="1" applyAlignment="1">
      <alignment horizontal="center" vertical="center" wrapText="1"/>
    </xf>
    <xf numFmtId="0" fontId="27" fillId="9" borderId="42" xfId="0" applyFont="1" applyFill="1" applyBorder="1" applyAlignment="1">
      <alignment horizontal="center" vertical="center" wrapText="1"/>
    </xf>
    <xf numFmtId="0" fontId="27" fillId="9" borderId="44" xfId="0" applyFont="1" applyFill="1" applyBorder="1" applyAlignment="1">
      <alignment horizontal="center" vertical="center" wrapText="1"/>
    </xf>
    <xf numFmtId="0" fontId="27" fillId="9" borderId="57" xfId="0" applyFont="1" applyFill="1" applyBorder="1" applyAlignment="1">
      <alignment horizontal="center" vertical="center" wrapText="1"/>
    </xf>
    <xf numFmtId="0" fontId="27" fillId="9" borderId="52" xfId="0" applyFont="1" applyFill="1" applyBorder="1" applyAlignment="1">
      <alignment horizontal="center" vertical="center" wrapText="1"/>
    </xf>
    <xf numFmtId="0" fontId="27" fillId="9" borderId="43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left" vertical="center" wrapText="1"/>
    </xf>
    <xf numFmtId="0" fontId="14" fillId="10" borderId="46" xfId="0" applyFont="1" applyFill="1" applyBorder="1" applyAlignment="1">
      <alignment horizontal="left" vertical="center" wrapText="1"/>
    </xf>
    <xf numFmtId="0" fontId="14" fillId="10" borderId="47" xfId="0" applyFont="1" applyFill="1" applyBorder="1" applyAlignment="1">
      <alignment horizontal="left" vertical="center" wrapText="1"/>
    </xf>
    <xf numFmtId="0" fontId="15" fillId="9" borderId="48" xfId="0" applyFont="1" applyFill="1" applyBorder="1" applyAlignment="1">
      <alignment horizontal="left" vertical="center" wrapText="1"/>
    </xf>
    <xf numFmtId="0" fontId="15" fillId="9" borderId="40" xfId="0" applyFont="1" applyFill="1" applyBorder="1" applyAlignment="1">
      <alignment horizontal="left" vertical="center" wrapText="1"/>
    </xf>
    <xf numFmtId="0" fontId="15" fillId="9" borderId="49" xfId="0" applyFont="1" applyFill="1" applyBorder="1" applyAlignment="1">
      <alignment horizontal="left" vertical="center" wrapText="1"/>
    </xf>
    <xf numFmtId="0" fontId="14" fillId="10" borderId="50" xfId="0" applyFont="1" applyFill="1" applyBorder="1" applyAlignment="1">
      <alignment horizontal="center" vertical="center" wrapText="1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14" fillId="10" borderId="43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55" xfId="0" applyFont="1" applyFill="1" applyBorder="1" applyAlignment="1">
      <alignment horizontal="center" vertical="center" wrapText="1"/>
    </xf>
    <xf numFmtId="0" fontId="15" fillId="9" borderId="56" xfId="0" applyFont="1" applyFill="1" applyBorder="1" applyAlignment="1">
      <alignment horizontal="center" vertical="center" wrapText="1"/>
    </xf>
    <xf numFmtId="0" fontId="15" fillId="9" borderId="42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57" xfId="0" applyFont="1" applyFill="1" applyBorder="1" applyAlignment="1">
      <alignment horizontal="center" vertical="center" wrapText="1"/>
    </xf>
    <xf numFmtId="0" fontId="15" fillId="9" borderId="52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</cellXfs>
  <cellStyles count="25">
    <cellStyle name="Millares" xfId="1" builtinId="3"/>
    <cellStyle name="Millares 10 2 2" xfId="23" xr:uid="{D9523EB9-FBE5-4CA4-AA3C-428132383F04}"/>
    <cellStyle name="Millares 10 3" xfId="10" xr:uid="{EB5283D3-22FC-4CBF-97E5-B436615B30BF}"/>
    <cellStyle name="Millares 2" xfId="22" xr:uid="{7434EB92-8A81-4323-9A9E-0FB3637B01F5}"/>
    <cellStyle name="Moneda" xfId="2" builtinId="4"/>
    <cellStyle name="Moneda [0]" xfId="3" builtinId="7"/>
    <cellStyle name="Moneda [0] 2" xfId="12" xr:uid="{AF8DD3CB-5B82-4CE0-9917-88316543EE8B}"/>
    <cellStyle name="Moneda [0] 2 2" xfId="19" xr:uid="{A97B8473-FCED-4864-91D0-71CF319C7426}"/>
    <cellStyle name="Moneda 12" xfId="11" xr:uid="{2807B947-7E29-4C2F-A56E-677A3667CDCE}"/>
    <cellStyle name="Moneda 2" xfId="13" xr:uid="{FCF521F6-C29A-4C90-BE2E-A7AEC95FA13C}"/>
    <cellStyle name="Moneda 27" xfId="5" xr:uid="{FCDF1460-AC64-4C34-852B-848D66258F7D}"/>
    <cellStyle name="Moneda 27 2" xfId="16" xr:uid="{DE91D92E-20E3-4FB1-89C2-D2DAD3F031EB}"/>
    <cellStyle name="Moneda 3" xfId="14" xr:uid="{DC368755-0CD3-4E16-A0D1-91A7BB11ABFC}"/>
    <cellStyle name="Moneda 4" xfId="15" xr:uid="{AC89E926-172F-4C82-A5F4-5A6058EFCEAC}"/>
    <cellStyle name="Moneda 6 2" xfId="8" xr:uid="{78D31611-13D8-4B31-B385-C73CE5660331}"/>
    <cellStyle name="Normal" xfId="0" builtinId="0"/>
    <cellStyle name="Normal 2" xfId="18" xr:uid="{1077DA1E-D94A-40D2-BDB4-15BF2B3C2EEE}"/>
    <cellStyle name="Normal 2 2" xfId="6" xr:uid="{6EEDC6C8-4F00-44E9-AE8D-09AD910110C1}"/>
    <cellStyle name="Normal 2 3" xfId="24" xr:uid="{D4EBAE2B-A680-4F1E-9AE8-3A3F795439A4}"/>
    <cellStyle name="Normal 34" xfId="9" xr:uid="{2A533CF6-C226-485C-AEE4-CBD54392E6F3}"/>
    <cellStyle name="Normal 5" xfId="17" xr:uid="{034957DC-847F-4EEF-A7EE-33EBC981D0EC}"/>
    <cellStyle name="Normal 6 2 3" xfId="7" xr:uid="{012C4AEF-7897-4100-A120-9890B54D4B3E}"/>
    <cellStyle name="Porcentaje" xfId="4" builtinId="5"/>
    <cellStyle name="Porcentaje 2" xfId="20" xr:uid="{611FCDFC-D546-42B1-A372-77975E65D6FD}"/>
    <cellStyle name="Porcentaje 3" xfId="21" xr:uid="{E50BD5BE-C62B-4D23-A9FB-981B61C85C3F}"/>
  </cellStyles>
  <dxfs count="0"/>
  <tableStyles count="0" defaultTableStyle="TableStyleMedium2" defaultPivotStyle="PivotStyleLight16"/>
  <colors>
    <mruColors>
      <color rgb="FFEBE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989610</xdr:colOff>
      <xdr:row>249</xdr:row>
      <xdr:rowOff>0</xdr:rowOff>
    </xdr:from>
    <xdr:to>
      <xdr:col>20</xdr:col>
      <xdr:colOff>197922</xdr:colOff>
      <xdr:row>267</xdr:row>
      <xdr:rowOff>11751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3B2759-E9EA-4AD3-9661-5856F7B78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2045" y="66526558"/>
          <a:ext cx="6667500" cy="3364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PRESUPUESTO%20BALANCE%20CAL%20V5%2009-09-2021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CVTU%202020\BALANCES%20PRESUPUESTALES\BALANCE%20CANTIDADES%20-%20CALIBRACI&#211;N%20-%20CVTU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UCHO\PROYECTO%20NUEVO%20URABA%20N001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DIRECTOS\MUNICIPIO%20DE%20SANTA%20FE\PRESUPUESTO\PRESUPUESTO%20PAVIMENTO%20SANTA%20FE_Versi&#243;n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tecmedics.a.s\Library\Containers\com.microsoft.Excel\Data\Desktop\PROYECTO%202019\PRESUPUESTO%20uraba%202019\cantidades%20de%20ob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PRESUPUESTO%20BALANCE%20CAL%20v6%2028-10-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ANEXO%20APU%20CONCRETO%20CICLOP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Ppto"/>
      <sheetName val="DEVOLUCION CHADO "/>
      <sheetName val="INCREMENTO DE ACERO "/>
      <sheetName val="A.I.U ADICION "/>
      <sheetName val="A.I.U (modificado)"/>
      <sheetName val="A.I.U"/>
      <sheetName val="P.A.G.A"/>
      <sheetName val="PManejo de transito"/>
      <sheetName val="PAGA"/>
      <sheetName val="PMT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6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7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8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APU OE-3"/>
      <sheetName val="APU OE-4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11">
          <cell r="D11">
            <v>550.58823529411768</v>
          </cell>
        </row>
        <row r="15">
          <cell r="D15">
            <v>75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14" refreshError="1"/>
      <sheetData sheetId="15">
        <row r="18">
          <cell r="D18">
            <v>1300</v>
          </cell>
        </row>
        <row r="19">
          <cell r="D19">
            <v>68000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16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  <sheetName val="APU "/>
      <sheetName val="APU GAVIÓN 30M3"/>
      <sheetName val="APU MURO PANTALLA"/>
      <sheetName val="APU Cajas y aletas CONCRETO"/>
      <sheetName val="APU Cajas y aletas AC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8">
          <cell r="C8">
            <v>39062</v>
          </cell>
        </row>
      </sheetData>
      <sheetData sheetId="11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Ppto"/>
      <sheetName val="DEVOLUCION CHADO "/>
      <sheetName val="INCREMENTO DE ACERO "/>
      <sheetName val="A.I.U ADICION "/>
      <sheetName val="A.I.U (modificado)"/>
      <sheetName val="A.I.U"/>
      <sheetName val="P.A.G.A"/>
      <sheetName val="PManejo de transito"/>
      <sheetName val="PAGA"/>
      <sheetName val="PMT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>
        <row r="13">
          <cell r="I13">
            <v>596.66999999999996</v>
          </cell>
        </row>
        <row r="15">
          <cell r="I15">
            <v>57.036000000000001</v>
          </cell>
        </row>
        <row r="17">
          <cell r="I17">
            <v>634.03099999999995</v>
          </cell>
        </row>
        <row r="19">
          <cell r="I19">
            <v>1572.4</v>
          </cell>
        </row>
        <row r="21">
          <cell r="I21">
            <v>4874.78</v>
          </cell>
        </row>
        <row r="23">
          <cell r="I23">
            <v>651.08000000000004</v>
          </cell>
        </row>
        <row r="26">
          <cell r="I26">
            <v>105.25</v>
          </cell>
        </row>
        <row r="28">
          <cell r="I28">
            <v>49.78</v>
          </cell>
        </row>
        <row r="30">
          <cell r="I30">
            <v>6873.6</v>
          </cell>
        </row>
        <row r="32">
          <cell r="I32">
            <v>57.91</v>
          </cell>
        </row>
        <row r="34">
          <cell r="I34">
            <v>47</v>
          </cell>
        </row>
        <row r="38">
          <cell r="I38">
            <v>13.618</v>
          </cell>
        </row>
        <row r="41">
          <cell r="I41">
            <v>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NCRETO CICPLOPEO "/>
    </sheetNames>
    <sheetDataSet>
      <sheetData sheetId="0" refreshError="1">
        <row r="29">
          <cell r="G29">
            <v>49322</v>
          </cell>
        </row>
        <row r="68">
          <cell r="G68">
            <v>46421</v>
          </cell>
        </row>
        <row r="106">
          <cell r="G106">
            <v>45868</v>
          </cell>
        </row>
        <row r="147">
          <cell r="G147">
            <v>49038</v>
          </cell>
        </row>
        <row r="183">
          <cell r="G183">
            <v>47689</v>
          </cell>
        </row>
        <row r="221">
          <cell r="G221">
            <v>57797</v>
          </cell>
        </row>
        <row r="258">
          <cell r="G258">
            <v>51202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96F0-DC76-43A5-ACDE-2942DD363E7D}">
  <sheetPr>
    <tabColor theme="6" tint="-0.249977111117893"/>
    <pageSetUpPr fitToPage="1"/>
  </sheetPr>
  <dimension ref="A1:AP291"/>
  <sheetViews>
    <sheetView tabSelected="1" showWhiteSpace="0" view="pageBreakPreview" zoomScale="70" zoomScaleNormal="25" zoomScaleSheetLayoutView="70" zoomScalePageLayoutView="60" workbookViewId="0">
      <pane ySplit="4" topLeftCell="A14" activePane="bottomLeft" state="frozen"/>
      <selection pane="bottomLeft" activeCell="G268" sqref="G268"/>
    </sheetView>
  </sheetViews>
  <sheetFormatPr baseColWidth="10" defaultColWidth="10.88671875" defaultRowHeight="15" customHeight="1" x14ac:dyDescent="0.3"/>
  <cols>
    <col min="1" max="1" width="9.109375" customWidth="1"/>
    <col min="2" max="2" width="10.109375" customWidth="1"/>
    <col min="3" max="3" width="58.5546875" customWidth="1"/>
    <col min="4" max="4" width="9.109375" customWidth="1"/>
    <col min="5" max="5" width="11.44140625" bestFit="1" customWidth="1"/>
    <col min="6" max="6" width="12.5546875" bestFit="1" customWidth="1"/>
    <col min="7" max="7" width="20.5546875" bestFit="1" customWidth="1"/>
    <col min="8" max="8" width="15.33203125" customWidth="1"/>
    <col min="9" max="9" width="25" customWidth="1"/>
    <col min="10" max="10" width="9" hidden="1" customWidth="1"/>
    <col min="11" max="11" width="9.6640625" hidden="1" customWidth="1"/>
    <col min="12" max="12" width="21.33203125" hidden="1" customWidth="1"/>
    <col min="13" max="13" width="16.33203125" hidden="1" customWidth="1"/>
    <col min="14" max="14" width="20.6640625" hidden="1" customWidth="1"/>
    <col min="15" max="15" width="22.44140625" hidden="1" customWidth="1"/>
    <col min="16" max="16" width="11.109375" bestFit="1" customWidth="1"/>
    <col min="17" max="17" width="10.88671875" bestFit="1" customWidth="1"/>
    <col min="18" max="18" width="15.44140625" bestFit="1" customWidth="1"/>
    <col min="19" max="19" width="12.109375" style="343" bestFit="1" customWidth="1"/>
    <col min="20" max="20" width="22" style="343" customWidth="1"/>
    <col min="21" max="21" width="28.109375" customWidth="1"/>
    <col min="22" max="22" width="28.109375" hidden="1" customWidth="1"/>
    <col min="23" max="23" width="59" hidden="1" customWidth="1"/>
    <col min="24" max="24" width="23.109375" hidden="1" customWidth="1"/>
    <col min="25" max="25" width="22.88671875" hidden="1" customWidth="1"/>
    <col min="26" max="26" width="21.5546875" hidden="1" customWidth="1"/>
    <col min="27" max="27" width="10.88671875" hidden="1" customWidth="1"/>
    <col min="28" max="28" width="10.6640625" hidden="1" customWidth="1"/>
    <col min="29" max="29" width="16.5546875" hidden="1" customWidth="1"/>
    <col min="30" max="30" width="2.33203125" hidden="1" customWidth="1"/>
    <col min="31" max="31" width="12.109375" hidden="1" customWidth="1"/>
    <col min="32" max="32" width="9.44140625" hidden="1" customWidth="1"/>
    <col min="33" max="33" width="10.88671875" hidden="1" customWidth="1"/>
    <col min="34" max="37" width="0" hidden="1" customWidth="1"/>
  </cols>
  <sheetData>
    <row r="1" spans="1:32" ht="18.600000000000001" thickBot="1" x14ac:dyDescent="0.35">
      <c r="A1" s="525" t="s">
        <v>0</v>
      </c>
      <c r="B1" s="526"/>
      <c r="C1" s="507" t="s">
        <v>1</v>
      </c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9"/>
      <c r="T1" s="509"/>
      <c r="U1" s="510"/>
      <c r="V1" s="399"/>
      <c r="W1" s="79" t="s">
        <v>590</v>
      </c>
      <c r="X1" s="79" t="s">
        <v>603</v>
      </c>
      <c r="Y1" s="79" t="s">
        <v>591</v>
      </c>
      <c r="Z1" s="79" t="s">
        <v>592</v>
      </c>
      <c r="AC1" t="s">
        <v>588</v>
      </c>
      <c r="AF1" t="s">
        <v>589</v>
      </c>
    </row>
    <row r="2" spans="1:32" ht="24.75" customHeight="1" thickBot="1" x14ac:dyDescent="0.35">
      <c r="A2" s="527" t="s">
        <v>2</v>
      </c>
      <c r="B2" s="528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30"/>
      <c r="U2" s="221"/>
      <c r="V2" s="400"/>
      <c r="W2" s="79" t="s">
        <v>593</v>
      </c>
      <c r="X2" s="100">
        <v>17901531923</v>
      </c>
      <c r="Y2" s="100">
        <f>+AF2</f>
        <v>17901531923</v>
      </c>
      <c r="Z2" s="98">
        <f>+Y2-X2</f>
        <v>0</v>
      </c>
      <c r="AB2" s="94">
        <f>+I5</f>
        <v>16370244216</v>
      </c>
      <c r="AC2" s="99">
        <f>+ROUND(AB2*(1+$F$227),0)</f>
        <v>16370244216</v>
      </c>
      <c r="AE2" s="94">
        <f>+T5</f>
        <v>13882408169</v>
      </c>
      <c r="AF2" s="99">
        <f>+ROUND(AE2*(1+$F$238),0)</f>
        <v>17901531923</v>
      </c>
    </row>
    <row r="3" spans="1:32" ht="14.4" x14ac:dyDescent="0.3">
      <c r="A3" s="520"/>
      <c r="B3" s="531"/>
      <c r="C3" s="531"/>
      <c r="D3" s="105"/>
      <c r="E3" s="105"/>
      <c r="F3" s="520" t="s">
        <v>3</v>
      </c>
      <c r="G3" s="521"/>
      <c r="H3" s="531" t="s">
        <v>4</v>
      </c>
      <c r="I3" s="521"/>
      <c r="J3" s="473" t="s">
        <v>541</v>
      </c>
      <c r="K3" s="474"/>
      <c r="L3" s="475"/>
      <c r="M3" s="473" t="s">
        <v>542</v>
      </c>
      <c r="N3" s="474"/>
      <c r="O3" s="475"/>
      <c r="P3" s="473" t="s">
        <v>587</v>
      </c>
      <c r="Q3" s="474"/>
      <c r="R3" s="475"/>
      <c r="S3" s="532" t="s">
        <v>5</v>
      </c>
      <c r="T3" s="533"/>
      <c r="U3" s="222" t="s">
        <v>6</v>
      </c>
      <c r="V3" s="401"/>
      <c r="W3" s="79" t="s">
        <v>594</v>
      </c>
      <c r="X3" s="100">
        <v>2148424186</v>
      </c>
      <c r="Y3" s="100">
        <f>+AF3-1</f>
        <v>2107975186</v>
      </c>
      <c r="Z3" s="98">
        <f t="shared" ref="Z3:Z13" si="0">+Y3-X3</f>
        <v>-40449000</v>
      </c>
      <c r="AB3" s="94">
        <f>+I96</f>
        <v>2080220709</v>
      </c>
      <c r="AC3" s="99">
        <f>+ROUND(AB3*(1+$F$227),0)</f>
        <v>2080220709</v>
      </c>
      <c r="AE3" s="94">
        <f>+T96</f>
        <v>1634707693</v>
      </c>
      <c r="AF3" s="99">
        <f>+ROUND(AE3*(1+$F$238),0)</f>
        <v>2107975187</v>
      </c>
    </row>
    <row r="4" spans="1:32" ht="27.6" x14ac:dyDescent="0.3">
      <c r="A4" s="1" t="s">
        <v>7</v>
      </c>
      <c r="B4" s="2" t="s">
        <v>8</v>
      </c>
      <c r="C4" s="2" t="s">
        <v>9</v>
      </c>
      <c r="D4" s="2" t="s">
        <v>10</v>
      </c>
      <c r="E4" s="119" t="s">
        <v>11</v>
      </c>
      <c r="F4" s="1" t="s">
        <v>12</v>
      </c>
      <c r="G4" s="3" t="s">
        <v>13</v>
      </c>
      <c r="H4" s="130" t="s">
        <v>12</v>
      </c>
      <c r="I4" s="3" t="s">
        <v>13</v>
      </c>
      <c r="J4" s="1" t="s">
        <v>14</v>
      </c>
      <c r="K4" s="2" t="s">
        <v>15</v>
      </c>
      <c r="L4" s="4" t="s">
        <v>16</v>
      </c>
      <c r="M4" s="1" t="s">
        <v>14</v>
      </c>
      <c r="N4" s="2" t="s">
        <v>15</v>
      </c>
      <c r="O4" s="4" t="s">
        <v>16</v>
      </c>
      <c r="P4" s="1" t="s">
        <v>14</v>
      </c>
      <c r="Q4" s="2" t="s">
        <v>15</v>
      </c>
      <c r="R4" s="4" t="s">
        <v>16</v>
      </c>
      <c r="S4" s="1" t="s">
        <v>17</v>
      </c>
      <c r="T4" s="4" t="s">
        <v>18</v>
      </c>
      <c r="U4" s="4" t="s">
        <v>19</v>
      </c>
      <c r="V4" s="402"/>
      <c r="W4" s="79" t="s">
        <v>595</v>
      </c>
      <c r="X4" s="100">
        <v>166664742</v>
      </c>
      <c r="Y4" s="100">
        <f t="shared" ref="Y4:Y11" si="1">+AF4</f>
        <v>166664742</v>
      </c>
      <c r="Z4" s="98">
        <f t="shared" si="0"/>
        <v>0</v>
      </c>
      <c r="AB4" s="94">
        <f>+I167</f>
        <v>132066568</v>
      </c>
      <c r="AC4" s="99">
        <f>+ROUND(AB4*(1+$F$227),0)</f>
        <v>132066568</v>
      </c>
      <c r="AE4" s="94">
        <f>+T167</f>
        <v>129246368</v>
      </c>
      <c r="AF4" s="99">
        <f>+ROUND(AE4*(1+$F$238),0)</f>
        <v>166664742</v>
      </c>
    </row>
    <row r="5" spans="1:32" ht="27.6" x14ac:dyDescent="0.3">
      <c r="A5" s="5" t="s">
        <v>20</v>
      </c>
      <c r="B5" s="6"/>
      <c r="C5" s="106" t="s">
        <v>21</v>
      </c>
      <c r="D5" s="107"/>
      <c r="E5" s="107"/>
      <c r="F5" s="137"/>
      <c r="G5" s="138">
        <v>16371766404.1</v>
      </c>
      <c r="H5" s="108"/>
      <c r="I5" s="7">
        <f>+I6+I16+I26+I36+I46+I56+I66+I76+I86</f>
        <v>16370244216</v>
      </c>
      <c r="J5" s="476"/>
      <c r="K5" s="477"/>
      <c r="L5" s="7">
        <f>+L6+L16+L26+L36+L46+L56+L66+L76+L86</f>
        <v>-338829791</v>
      </c>
      <c r="M5" s="476"/>
      <c r="N5" s="477"/>
      <c r="O5" s="7">
        <f>+O6+O16+O26+O36+O46+O56+O66+O76+O86</f>
        <v>-2149006258</v>
      </c>
      <c r="P5" s="347"/>
      <c r="Q5" s="347"/>
      <c r="R5" s="7">
        <f>+R6+R16+R26+R36+R46+R56+R66+R76+R86</f>
        <v>0</v>
      </c>
      <c r="S5" s="8"/>
      <c r="T5" s="9">
        <f>+T6+T16+T26+T36+T46+T56+T66+T76+T86</f>
        <v>13882408169</v>
      </c>
      <c r="U5" s="9">
        <v>12567957791.3948</v>
      </c>
      <c r="V5" s="9"/>
      <c r="W5" s="79" t="s">
        <v>596</v>
      </c>
      <c r="X5" s="100">
        <v>1833315</v>
      </c>
      <c r="Y5" s="100">
        <f t="shared" si="1"/>
        <v>1833315</v>
      </c>
      <c r="Z5" s="98">
        <f t="shared" si="0"/>
        <v>0</v>
      </c>
      <c r="AB5" s="94">
        <f>+I178</f>
        <v>1303236</v>
      </c>
      <c r="AC5" s="99">
        <f>+ROUND(AB5*(1+$F$227),0)</f>
        <v>1303236</v>
      </c>
      <c r="AE5" s="94">
        <f>+T178</f>
        <v>1421712</v>
      </c>
      <c r="AF5" s="99">
        <f>+ROUND(AE5*(1+$F$238),0)</f>
        <v>1833315</v>
      </c>
    </row>
    <row r="6" spans="1:32" ht="14.4" x14ac:dyDescent="0.3">
      <c r="A6" s="5" t="s">
        <v>22</v>
      </c>
      <c r="B6" s="6" t="s">
        <v>23</v>
      </c>
      <c r="C6" s="10" t="s">
        <v>24</v>
      </c>
      <c r="D6" s="6" t="s">
        <v>25</v>
      </c>
      <c r="E6" s="35"/>
      <c r="F6" s="139"/>
      <c r="G6" s="138">
        <v>288545909</v>
      </c>
      <c r="H6" s="36"/>
      <c r="I6" s="11">
        <f>SUM(I7:I15)</f>
        <v>288504184</v>
      </c>
      <c r="J6" s="476"/>
      <c r="K6" s="477"/>
      <c r="L6" s="11">
        <f>SUM(L7:L15)</f>
        <v>-13477134</v>
      </c>
      <c r="M6" s="476"/>
      <c r="N6" s="477"/>
      <c r="O6" s="11">
        <f>SUM(O7:O15)</f>
        <v>6451304</v>
      </c>
      <c r="P6" s="348"/>
      <c r="Q6" s="348"/>
      <c r="R6" s="11">
        <f>SUM(R7:R15)</f>
        <v>0</v>
      </c>
      <c r="S6" s="12"/>
      <c r="T6" s="13">
        <f>SUM(T7:T15)</f>
        <v>281478354</v>
      </c>
      <c r="U6" s="13">
        <v>266278913.29639047</v>
      </c>
      <c r="V6" s="13"/>
      <c r="W6" s="79" t="s">
        <v>624</v>
      </c>
      <c r="X6" s="100">
        <v>2958981017</v>
      </c>
      <c r="Y6" s="100">
        <f>+AF6</f>
        <v>3322943854</v>
      </c>
      <c r="Z6" s="98">
        <f>+Y6-X6</f>
        <v>363962837</v>
      </c>
      <c r="AB6" s="94">
        <f>+I232</f>
        <v>0</v>
      </c>
      <c r="AC6" s="99">
        <f>+AB6</f>
        <v>0</v>
      </c>
      <c r="AE6" s="94">
        <f>+T243</f>
        <v>3322943854</v>
      </c>
      <c r="AF6" s="99">
        <f>+AE6</f>
        <v>3322943854</v>
      </c>
    </row>
    <row r="7" spans="1:32" ht="27.6" x14ac:dyDescent="0.3">
      <c r="A7" s="14" t="s">
        <v>26</v>
      </c>
      <c r="B7" s="481" t="s">
        <v>23</v>
      </c>
      <c r="C7" s="15" t="s">
        <v>27</v>
      </c>
      <c r="D7" s="102" t="s">
        <v>25</v>
      </c>
      <c r="E7" s="120">
        <v>4455.8599999999997</v>
      </c>
      <c r="F7" s="140">
        <v>6923</v>
      </c>
      <c r="G7" s="141">
        <v>30847940</v>
      </c>
      <c r="H7" s="131">
        <v>6922</v>
      </c>
      <c r="I7" s="16">
        <f>ROUND(E7*H7,0)</f>
        <v>30843463</v>
      </c>
      <c r="J7" s="17">
        <v>0</v>
      </c>
      <c r="K7" s="18">
        <v>0</v>
      </c>
      <c r="L7" s="19">
        <f t="shared" ref="L7:L15" si="2">ROUND(+J7*H7+K7*H7,0)</f>
        <v>0</v>
      </c>
      <c r="M7" s="17">
        <v>0</v>
      </c>
      <c r="N7" s="18">
        <v>0</v>
      </c>
      <c r="O7" s="19">
        <f>ROUND(+M7*H7+N7*H7,0)</f>
        <v>0</v>
      </c>
      <c r="P7" s="17">
        <v>0</v>
      </c>
      <c r="Q7" s="358">
        <v>0</v>
      </c>
      <c r="R7" s="19">
        <f>ROUND(+P7*H7+Q7*H7,0)</f>
        <v>0</v>
      </c>
      <c r="S7" s="259">
        <f>+E7+J7+K7+M7+N7+P7+Q7</f>
        <v>4455.8599999999997</v>
      </c>
      <c r="T7" s="20">
        <f t="shared" ref="T7:T15" si="3">ROUND(H7*S7,0)</f>
        <v>30843463</v>
      </c>
      <c r="U7" s="20">
        <v>41106850.760000005</v>
      </c>
      <c r="V7" s="20"/>
      <c r="W7" s="79" t="s">
        <v>597</v>
      </c>
      <c r="X7" s="100">
        <v>251804085</v>
      </c>
      <c r="Y7" s="100">
        <f>+AF7</f>
        <v>251804085</v>
      </c>
      <c r="Z7" s="98">
        <f>+Y7-X7</f>
        <v>0</v>
      </c>
      <c r="AB7" s="94">
        <f>+I229</f>
        <v>0</v>
      </c>
      <c r="AC7" s="99">
        <f>+AB7</f>
        <v>0</v>
      </c>
      <c r="AE7" s="94">
        <f>+T240</f>
        <v>251804085</v>
      </c>
      <c r="AF7" s="99">
        <f>+AE7</f>
        <v>251804085</v>
      </c>
    </row>
    <row r="8" spans="1:32" ht="27.6" x14ac:dyDescent="0.3">
      <c r="A8" s="14" t="s">
        <v>28</v>
      </c>
      <c r="B8" s="481"/>
      <c r="C8" s="15" t="s">
        <v>29</v>
      </c>
      <c r="D8" s="102" t="s">
        <v>25</v>
      </c>
      <c r="E8" s="120">
        <v>4278.91</v>
      </c>
      <c r="F8" s="140">
        <v>6923</v>
      </c>
      <c r="G8" s="141">
        <v>29622897</v>
      </c>
      <c r="H8" s="131">
        <v>6922</v>
      </c>
      <c r="I8" s="16">
        <f t="shared" ref="I8:I15" si="4">ROUND(E8*H8,0)</f>
        <v>29618615</v>
      </c>
      <c r="J8" s="17">
        <v>0</v>
      </c>
      <c r="K8" s="18">
        <v>0</v>
      </c>
      <c r="L8" s="19">
        <f t="shared" si="2"/>
        <v>0</v>
      </c>
      <c r="M8" s="17">
        <v>0</v>
      </c>
      <c r="N8" s="18">
        <v>0</v>
      </c>
      <c r="O8" s="19">
        <f t="shared" ref="O8:O15" si="5">ROUND(+M8*H8+N8*H8,0)</f>
        <v>0</v>
      </c>
      <c r="P8" s="17">
        <v>0</v>
      </c>
      <c r="Q8" s="358">
        <v>0</v>
      </c>
      <c r="R8" s="19">
        <f t="shared" ref="R8:R71" si="6">ROUND(+P8*H8+Q8*H8,0)</f>
        <v>0</v>
      </c>
      <c r="S8" s="259">
        <f t="shared" ref="S8:S71" si="7">+E8+J8+K8+M8+N8+P8+Q8</f>
        <v>4278.91</v>
      </c>
      <c r="T8" s="20">
        <f t="shared" si="3"/>
        <v>29618615</v>
      </c>
      <c r="U8" s="20">
        <v>22229449</v>
      </c>
      <c r="V8" s="20"/>
      <c r="W8" s="79" t="s">
        <v>598</v>
      </c>
      <c r="X8" s="100">
        <v>256362388</v>
      </c>
      <c r="Y8" s="100">
        <f t="shared" si="1"/>
        <v>256362388</v>
      </c>
      <c r="Z8" s="98">
        <f t="shared" si="0"/>
        <v>0</v>
      </c>
      <c r="AB8" s="94">
        <f>+I230</f>
        <v>0</v>
      </c>
      <c r="AC8" s="99">
        <f>+AB8</f>
        <v>0</v>
      </c>
      <c r="AE8" s="94">
        <f>+T241</f>
        <v>256362388</v>
      </c>
      <c r="AF8" s="99">
        <f>+AE8</f>
        <v>256362388</v>
      </c>
    </row>
    <row r="9" spans="1:32" ht="27.6" x14ac:dyDescent="0.3">
      <c r="A9" s="14" t="s">
        <v>30</v>
      </c>
      <c r="B9" s="481"/>
      <c r="C9" s="15" t="s">
        <v>31</v>
      </c>
      <c r="D9" s="102" t="s">
        <v>25</v>
      </c>
      <c r="E9" s="121">
        <v>3669.47</v>
      </c>
      <c r="F9" s="142">
        <v>6923</v>
      </c>
      <c r="G9" s="143">
        <v>25403773</v>
      </c>
      <c r="H9" s="131">
        <v>6922</v>
      </c>
      <c r="I9" s="16">
        <f t="shared" si="4"/>
        <v>25400071</v>
      </c>
      <c r="J9" s="17">
        <v>0</v>
      </c>
      <c r="K9" s="18">
        <v>0</v>
      </c>
      <c r="L9" s="19">
        <f t="shared" si="2"/>
        <v>0</v>
      </c>
      <c r="M9" s="17">
        <v>0</v>
      </c>
      <c r="N9" s="18">
        <v>0</v>
      </c>
      <c r="O9" s="19">
        <f t="shared" si="5"/>
        <v>0</v>
      </c>
      <c r="P9" s="17">
        <v>0</v>
      </c>
      <c r="Q9" s="380">
        <v>0</v>
      </c>
      <c r="R9" s="19">
        <f t="shared" si="6"/>
        <v>0</v>
      </c>
      <c r="S9" s="259">
        <f t="shared" si="7"/>
        <v>3669.47</v>
      </c>
      <c r="T9" s="20">
        <f t="shared" si="3"/>
        <v>25400071</v>
      </c>
      <c r="U9" s="20">
        <v>24068832</v>
      </c>
      <c r="V9" s="20"/>
      <c r="W9" s="79" t="s">
        <v>599</v>
      </c>
      <c r="X9" s="100">
        <v>208992456</v>
      </c>
      <c r="Y9" s="100">
        <f t="shared" si="1"/>
        <v>249441456</v>
      </c>
      <c r="Z9" s="98">
        <f t="shared" si="0"/>
        <v>40449000</v>
      </c>
      <c r="AB9" s="94" t="e">
        <f>+#REF!</f>
        <v>#REF!</v>
      </c>
      <c r="AC9" s="99" t="e">
        <f>+AB9</f>
        <v>#REF!</v>
      </c>
      <c r="AE9" s="94">
        <f>+T244</f>
        <v>249441456</v>
      </c>
      <c r="AF9" s="99">
        <f>+AE9</f>
        <v>249441456</v>
      </c>
    </row>
    <row r="10" spans="1:32" ht="27.6" x14ac:dyDescent="0.3">
      <c r="A10" s="14" t="s">
        <v>32</v>
      </c>
      <c r="B10" s="481"/>
      <c r="C10" s="15" t="s">
        <v>33</v>
      </c>
      <c r="D10" s="102" t="s">
        <v>25</v>
      </c>
      <c r="E10" s="120">
        <v>5151.25</v>
      </c>
      <c r="F10" s="140">
        <v>6923</v>
      </c>
      <c r="G10" s="141">
        <v>35662130</v>
      </c>
      <c r="H10" s="131">
        <v>6922</v>
      </c>
      <c r="I10" s="16">
        <f t="shared" si="4"/>
        <v>35656953</v>
      </c>
      <c r="J10" s="17">
        <v>0</v>
      </c>
      <c r="K10" s="368">
        <v>-533</v>
      </c>
      <c r="L10" s="360">
        <f t="shared" si="2"/>
        <v>-3689426</v>
      </c>
      <c r="M10" s="361">
        <v>512</v>
      </c>
      <c r="N10" s="18">
        <v>0</v>
      </c>
      <c r="O10" s="19">
        <f t="shared" si="5"/>
        <v>3544064</v>
      </c>
      <c r="P10" s="17">
        <v>0</v>
      </c>
      <c r="Q10" s="358">
        <v>0</v>
      </c>
      <c r="R10" s="19">
        <f t="shared" si="6"/>
        <v>0</v>
      </c>
      <c r="S10" s="259">
        <f t="shared" si="7"/>
        <v>5130.25</v>
      </c>
      <c r="T10" s="20">
        <f t="shared" si="3"/>
        <v>35511591</v>
      </c>
      <c r="U10" s="20">
        <v>20280629</v>
      </c>
      <c r="V10" s="20"/>
      <c r="W10" s="79" t="s">
        <v>600</v>
      </c>
      <c r="X10" s="100">
        <v>77439880</v>
      </c>
      <c r="Y10" s="100">
        <f t="shared" si="1"/>
        <v>77439880</v>
      </c>
      <c r="Z10" s="98">
        <f t="shared" si="0"/>
        <v>0</v>
      </c>
      <c r="AB10" s="94">
        <f>+I231</f>
        <v>0</v>
      </c>
      <c r="AC10" s="99">
        <f>+AB10</f>
        <v>0</v>
      </c>
      <c r="AE10" s="94">
        <f>+T242</f>
        <v>77439880</v>
      </c>
      <c r="AF10" s="99">
        <f>+AE10</f>
        <v>77439880</v>
      </c>
    </row>
    <row r="11" spans="1:32" ht="27.6" x14ac:dyDescent="0.3">
      <c r="A11" s="14" t="s">
        <v>35</v>
      </c>
      <c r="B11" s="481"/>
      <c r="C11" s="15" t="s">
        <v>36</v>
      </c>
      <c r="D11" s="102" t="s">
        <v>25</v>
      </c>
      <c r="E11" s="120">
        <v>2516.5</v>
      </c>
      <c r="F11" s="140">
        <v>6923</v>
      </c>
      <c r="G11" s="141">
        <v>17421724</v>
      </c>
      <c r="H11" s="131">
        <v>6922</v>
      </c>
      <c r="I11" s="16">
        <f t="shared" si="4"/>
        <v>17419213</v>
      </c>
      <c r="J11" s="17">
        <v>0</v>
      </c>
      <c r="K11" s="368">
        <v>-1013</v>
      </c>
      <c r="L11" s="360">
        <f t="shared" si="2"/>
        <v>-7011986</v>
      </c>
      <c r="M11" s="17">
        <v>0</v>
      </c>
      <c r="N11" s="18">
        <v>0</v>
      </c>
      <c r="O11" s="19">
        <f t="shared" si="5"/>
        <v>0</v>
      </c>
      <c r="P11" s="17">
        <v>0</v>
      </c>
      <c r="Q11" s="358">
        <v>0</v>
      </c>
      <c r="R11" s="19">
        <f t="shared" si="6"/>
        <v>0</v>
      </c>
      <c r="S11" s="259">
        <f t="shared" si="7"/>
        <v>1503.5</v>
      </c>
      <c r="T11" s="20">
        <f t="shared" si="3"/>
        <v>10407227</v>
      </c>
      <c r="U11" s="20">
        <v>10433599.82</v>
      </c>
      <c r="V11" s="20"/>
      <c r="W11" s="79" t="s">
        <v>601</v>
      </c>
      <c r="X11" s="100">
        <v>3313353487</v>
      </c>
      <c r="Y11" s="100">
        <f t="shared" si="1"/>
        <v>3313353487</v>
      </c>
      <c r="Z11" s="98">
        <f t="shared" si="0"/>
        <v>0</v>
      </c>
      <c r="AB11" s="94">
        <f>+I189</f>
        <v>0</v>
      </c>
      <c r="AC11" s="99">
        <f>+ROUND(AB11*(1+$F$227),0)</f>
        <v>0</v>
      </c>
      <c r="AE11" s="94">
        <f>+T189</f>
        <v>2569463088</v>
      </c>
      <c r="AF11" s="99">
        <f>+ROUND(AE11*(1+$F$238),0)+1</f>
        <v>3313353487</v>
      </c>
    </row>
    <row r="12" spans="1:32" ht="27.6" x14ac:dyDescent="0.3">
      <c r="A12" s="14" t="s">
        <v>37</v>
      </c>
      <c r="B12" s="481"/>
      <c r="C12" s="15" t="s">
        <v>38</v>
      </c>
      <c r="D12" s="102" t="s">
        <v>25</v>
      </c>
      <c r="E12" s="120">
        <v>4546.28</v>
      </c>
      <c r="F12" s="140">
        <v>6923</v>
      </c>
      <c r="G12" s="141">
        <v>31473905</v>
      </c>
      <c r="H12" s="131">
        <v>6922</v>
      </c>
      <c r="I12" s="16">
        <f t="shared" si="4"/>
        <v>31469350</v>
      </c>
      <c r="J12" s="17">
        <v>0</v>
      </c>
      <c r="K12" s="359">
        <v>0</v>
      </c>
      <c r="L12" s="360">
        <f t="shared" si="2"/>
        <v>0</v>
      </c>
      <c r="M12" s="17">
        <v>0</v>
      </c>
      <c r="N12" s="18">
        <v>0</v>
      </c>
      <c r="O12" s="19">
        <f t="shared" si="5"/>
        <v>0</v>
      </c>
      <c r="P12" s="17">
        <v>0</v>
      </c>
      <c r="Q12" s="358">
        <v>0</v>
      </c>
      <c r="R12" s="19">
        <f t="shared" si="6"/>
        <v>0</v>
      </c>
      <c r="S12" s="259">
        <f t="shared" si="7"/>
        <v>4546.28</v>
      </c>
      <c r="T12" s="20">
        <f t="shared" si="3"/>
        <v>31469350</v>
      </c>
      <c r="U12" s="20">
        <v>42507059.716390468</v>
      </c>
      <c r="V12" s="20"/>
      <c r="W12" s="79" t="s">
        <v>602</v>
      </c>
      <c r="X12" s="100">
        <v>0</v>
      </c>
      <c r="Y12" s="100">
        <v>0</v>
      </c>
      <c r="Z12" s="98">
        <f t="shared" si="0"/>
        <v>0</v>
      </c>
      <c r="AB12" s="94">
        <v>0</v>
      </c>
      <c r="AC12" s="99"/>
      <c r="AE12" s="94">
        <v>0</v>
      </c>
      <c r="AF12" s="99">
        <f>+ROUND(AE12*(1+$F$238),0)</f>
        <v>0</v>
      </c>
    </row>
    <row r="13" spans="1:32" ht="27.6" x14ac:dyDescent="0.3">
      <c r="A13" s="14" t="s">
        <v>39</v>
      </c>
      <c r="B13" s="481"/>
      <c r="C13" s="15" t="s">
        <v>40</v>
      </c>
      <c r="D13" s="102" t="s">
        <v>25</v>
      </c>
      <c r="E13" s="120">
        <v>7547.23</v>
      </c>
      <c r="F13" s="140">
        <v>6923</v>
      </c>
      <c r="G13" s="141">
        <v>52249445</v>
      </c>
      <c r="H13" s="131">
        <v>6922</v>
      </c>
      <c r="I13" s="16">
        <f t="shared" si="4"/>
        <v>52241926</v>
      </c>
      <c r="J13" s="17">
        <v>0</v>
      </c>
      <c r="K13" s="368">
        <v>-401</v>
      </c>
      <c r="L13" s="360">
        <f t="shared" si="2"/>
        <v>-2775722</v>
      </c>
      <c r="M13" s="361">
        <v>420</v>
      </c>
      <c r="N13" s="18">
        <v>0</v>
      </c>
      <c r="O13" s="19">
        <f t="shared" si="5"/>
        <v>2907240</v>
      </c>
      <c r="P13" s="17">
        <v>0</v>
      </c>
      <c r="Q13" s="358">
        <v>0</v>
      </c>
      <c r="R13" s="19">
        <f t="shared" si="6"/>
        <v>0</v>
      </c>
      <c r="S13" s="259">
        <f t="shared" si="7"/>
        <v>7566.23</v>
      </c>
      <c r="T13" s="20">
        <f t="shared" si="3"/>
        <v>52373444</v>
      </c>
      <c r="U13" s="20">
        <v>39797900</v>
      </c>
      <c r="V13" s="403"/>
      <c r="W13" s="79"/>
      <c r="X13" s="100">
        <v>27285387479</v>
      </c>
      <c r="Y13" s="100">
        <f>SUM(Y2:Y12)</f>
        <v>27649350316</v>
      </c>
      <c r="Z13" s="98">
        <f t="shared" si="0"/>
        <v>363962837</v>
      </c>
      <c r="AC13" s="94" t="e">
        <f>SUM(AC2:AC11)</f>
        <v>#REF!</v>
      </c>
      <c r="AF13" s="94">
        <f>SUM(AF2:AF12)</f>
        <v>27649350317</v>
      </c>
    </row>
    <row r="14" spans="1:32" ht="27.6" x14ac:dyDescent="0.3">
      <c r="A14" s="14" t="s">
        <v>41</v>
      </c>
      <c r="B14" s="481"/>
      <c r="C14" s="15" t="s">
        <v>42</v>
      </c>
      <c r="D14" s="102" t="s">
        <v>25</v>
      </c>
      <c r="E14" s="120">
        <v>4907.07</v>
      </c>
      <c r="F14" s="140">
        <v>6923</v>
      </c>
      <c r="G14" s="141">
        <v>33971655</v>
      </c>
      <c r="H14" s="131">
        <v>6922</v>
      </c>
      <c r="I14" s="16">
        <f t="shared" si="4"/>
        <v>33966739</v>
      </c>
      <c r="J14" s="17">
        <v>0</v>
      </c>
      <c r="K14" s="18">
        <v>0</v>
      </c>
      <c r="L14" s="257">
        <f t="shared" si="2"/>
        <v>0</v>
      </c>
      <c r="M14" s="17">
        <v>0</v>
      </c>
      <c r="N14" s="18">
        <v>0</v>
      </c>
      <c r="O14" s="19">
        <f t="shared" si="5"/>
        <v>0</v>
      </c>
      <c r="P14" s="17">
        <v>0</v>
      </c>
      <c r="Q14" s="358">
        <v>0</v>
      </c>
      <c r="R14" s="19">
        <f t="shared" si="6"/>
        <v>0</v>
      </c>
      <c r="S14" s="259">
        <f t="shared" si="7"/>
        <v>4907.07</v>
      </c>
      <c r="T14" s="20">
        <f t="shared" si="3"/>
        <v>33966739</v>
      </c>
      <c r="U14" s="20">
        <v>33966739</v>
      </c>
      <c r="V14" s="403"/>
    </row>
    <row r="15" spans="1:32" ht="27.6" x14ac:dyDescent="0.3">
      <c r="A15" s="14" t="s">
        <v>43</v>
      </c>
      <c r="B15" s="481"/>
      <c r="C15" s="32" t="s">
        <v>44</v>
      </c>
      <c r="D15" s="102" t="s">
        <v>25</v>
      </c>
      <c r="E15" s="120">
        <v>4606.74</v>
      </c>
      <c r="F15" s="140">
        <v>6923</v>
      </c>
      <c r="G15" s="141">
        <v>31892440</v>
      </c>
      <c r="H15" s="131">
        <v>6922</v>
      </c>
      <c r="I15" s="16">
        <f t="shared" si="4"/>
        <v>31887854</v>
      </c>
      <c r="J15" s="17">
        <v>0</v>
      </c>
      <c r="K15" s="18">
        <v>0</v>
      </c>
      <c r="L15" s="19">
        <f t="shared" si="2"/>
        <v>0</v>
      </c>
      <c r="M15" s="17">
        <v>0</v>
      </c>
      <c r="N15" s="18">
        <v>0</v>
      </c>
      <c r="O15" s="19">
        <f t="shared" si="5"/>
        <v>0</v>
      </c>
      <c r="P15" s="17">
        <v>0</v>
      </c>
      <c r="Q15" s="358">
        <v>0</v>
      </c>
      <c r="R15" s="19">
        <f t="shared" si="6"/>
        <v>0</v>
      </c>
      <c r="S15" s="259">
        <f t="shared" si="7"/>
        <v>4606.74</v>
      </c>
      <c r="T15" s="20">
        <f t="shared" si="3"/>
        <v>31887854</v>
      </c>
      <c r="U15" s="20">
        <v>31887854</v>
      </c>
      <c r="V15" s="403"/>
    </row>
    <row r="16" spans="1:32" ht="41.4" x14ac:dyDescent="0.3">
      <c r="A16" s="5" t="s">
        <v>45</v>
      </c>
      <c r="B16" s="6" t="s">
        <v>46</v>
      </c>
      <c r="C16" s="10" t="s">
        <v>47</v>
      </c>
      <c r="D16" s="6" t="s">
        <v>48</v>
      </c>
      <c r="E16" s="35"/>
      <c r="F16" s="139"/>
      <c r="G16" s="138">
        <v>169827719</v>
      </c>
      <c r="H16" s="36"/>
      <c r="I16" s="11">
        <f>SUM(I17:I25)</f>
        <v>169371291</v>
      </c>
      <c r="J16" s="476"/>
      <c r="K16" s="477"/>
      <c r="L16" s="11">
        <f>SUM(L17:L25)</f>
        <v>-8077173</v>
      </c>
      <c r="M16" s="476"/>
      <c r="N16" s="477"/>
      <c r="O16" s="11">
        <f>SUM(O17:O25)</f>
        <v>3633655</v>
      </c>
      <c r="P16" s="348"/>
      <c r="Q16" s="348"/>
      <c r="R16" s="11">
        <f>SUM(R17:R25)</f>
        <v>0</v>
      </c>
      <c r="S16" s="12"/>
      <c r="T16" s="13">
        <f>SUM(T17:T25)</f>
        <v>164927773</v>
      </c>
      <c r="U16" s="13">
        <v>133599377.63684425</v>
      </c>
      <c r="V16" s="404"/>
    </row>
    <row r="17" spans="1:22" ht="51" customHeight="1" x14ac:dyDescent="0.3">
      <c r="A17" s="14" t="s">
        <v>49</v>
      </c>
      <c r="B17" s="481" t="s">
        <v>46</v>
      </c>
      <c r="C17" s="21" t="s">
        <v>50</v>
      </c>
      <c r="D17" s="102" t="s">
        <v>48</v>
      </c>
      <c r="E17" s="120">
        <v>13694.57</v>
      </c>
      <c r="F17" s="140">
        <v>1304</v>
      </c>
      <c r="G17" s="141">
        <v>17857719</v>
      </c>
      <c r="H17" s="131">
        <v>1300</v>
      </c>
      <c r="I17" s="16">
        <f t="shared" ref="I17:I25" si="8">ROUND(E17*H17,0)</f>
        <v>17802941</v>
      </c>
      <c r="J17" s="22">
        <v>0</v>
      </c>
      <c r="K17" s="23">
        <v>0</v>
      </c>
      <c r="L17" s="24">
        <f t="shared" ref="L17:L25" si="9">ROUND(+J17*H17+K17*H17,0)</f>
        <v>0</v>
      </c>
      <c r="M17" s="22">
        <v>0</v>
      </c>
      <c r="N17" s="23">
        <v>0</v>
      </c>
      <c r="O17" s="19">
        <f>ROUND(+M17*H17+N17*H17,0)</f>
        <v>0</v>
      </c>
      <c r="P17" s="17">
        <v>0</v>
      </c>
      <c r="Q17" s="358">
        <v>0</v>
      </c>
      <c r="R17" s="19">
        <f t="shared" si="6"/>
        <v>0</v>
      </c>
      <c r="S17" s="259">
        <f t="shared" si="7"/>
        <v>13694.57</v>
      </c>
      <c r="T17" s="20">
        <f t="shared" ref="T17:T25" si="10">ROUND(H17*S17,0)</f>
        <v>17802941</v>
      </c>
      <c r="U17" s="20">
        <v>18466793.93</v>
      </c>
      <c r="V17" s="403"/>
    </row>
    <row r="18" spans="1:22" ht="51" customHeight="1" x14ac:dyDescent="0.3">
      <c r="A18" s="14" t="s">
        <v>51</v>
      </c>
      <c r="B18" s="481"/>
      <c r="C18" s="25" t="s">
        <v>52</v>
      </c>
      <c r="D18" s="102" t="s">
        <v>48</v>
      </c>
      <c r="E18" s="120">
        <v>20969.189999999999</v>
      </c>
      <c r="F18" s="140">
        <v>1304</v>
      </c>
      <c r="G18" s="141">
        <v>27343824</v>
      </c>
      <c r="H18" s="131">
        <v>1300</v>
      </c>
      <c r="I18" s="16">
        <f t="shared" si="8"/>
        <v>27259947</v>
      </c>
      <c r="J18" s="22">
        <v>0</v>
      </c>
      <c r="K18" s="23">
        <v>0</v>
      </c>
      <c r="L18" s="24">
        <f t="shared" si="9"/>
        <v>0</v>
      </c>
      <c r="M18" s="22">
        <v>0</v>
      </c>
      <c r="N18" s="23">
        <v>0</v>
      </c>
      <c r="O18" s="19">
        <f t="shared" ref="O18:O81" si="11">ROUND(+M18*H18+N18*H18,0)</f>
        <v>0</v>
      </c>
      <c r="P18" s="17">
        <v>0</v>
      </c>
      <c r="Q18" s="358">
        <v>0</v>
      </c>
      <c r="R18" s="19">
        <f t="shared" si="6"/>
        <v>0</v>
      </c>
      <c r="S18" s="259">
        <f t="shared" si="7"/>
        <v>20969.189999999999</v>
      </c>
      <c r="T18" s="20">
        <f t="shared" si="10"/>
        <v>27259947</v>
      </c>
      <c r="U18" s="20">
        <v>10353616</v>
      </c>
      <c r="V18" s="403"/>
    </row>
    <row r="19" spans="1:22" ht="41.4" x14ac:dyDescent="0.3">
      <c r="A19" s="14" t="s">
        <v>53</v>
      </c>
      <c r="B19" s="481"/>
      <c r="C19" s="25" t="s">
        <v>54</v>
      </c>
      <c r="D19" s="102" t="s">
        <v>48</v>
      </c>
      <c r="E19" s="121">
        <v>9479.0400000000009</v>
      </c>
      <c r="F19" s="142">
        <v>1304</v>
      </c>
      <c r="G19" s="143">
        <v>12360668</v>
      </c>
      <c r="H19" s="131">
        <v>1301</v>
      </c>
      <c r="I19" s="16">
        <f t="shared" si="8"/>
        <v>12332231</v>
      </c>
      <c r="J19" s="22">
        <v>0</v>
      </c>
      <c r="K19" s="23">
        <v>0</v>
      </c>
      <c r="L19" s="24">
        <f t="shared" si="9"/>
        <v>0</v>
      </c>
      <c r="M19" s="22">
        <v>0</v>
      </c>
      <c r="N19" s="23">
        <v>0</v>
      </c>
      <c r="O19" s="19">
        <f t="shared" si="11"/>
        <v>0</v>
      </c>
      <c r="P19" s="17">
        <v>0</v>
      </c>
      <c r="Q19" s="380">
        <v>0</v>
      </c>
      <c r="R19" s="19">
        <f t="shared" si="6"/>
        <v>0</v>
      </c>
      <c r="S19" s="259">
        <f t="shared" si="7"/>
        <v>9479.0400000000009</v>
      </c>
      <c r="T19" s="20">
        <f t="shared" si="10"/>
        <v>12332231</v>
      </c>
      <c r="U19" s="20">
        <v>11685895</v>
      </c>
      <c r="V19" s="403"/>
    </row>
    <row r="20" spans="1:22" ht="47.25" customHeight="1" x14ac:dyDescent="0.3">
      <c r="A20" s="14" t="s">
        <v>569</v>
      </c>
      <c r="B20" s="481"/>
      <c r="C20" s="25" t="s">
        <v>55</v>
      </c>
      <c r="D20" s="102" t="s">
        <v>48</v>
      </c>
      <c r="E20" s="120">
        <v>17995.2</v>
      </c>
      <c r="F20" s="140">
        <v>1304</v>
      </c>
      <c r="G20" s="141">
        <v>23465741</v>
      </c>
      <c r="H20" s="131">
        <v>1300</v>
      </c>
      <c r="I20" s="16">
        <f t="shared" si="8"/>
        <v>23393760</v>
      </c>
      <c r="J20" s="22">
        <v>0</v>
      </c>
      <c r="K20" s="369">
        <v>-639.84</v>
      </c>
      <c r="L20" s="24">
        <f t="shared" si="9"/>
        <v>-831792</v>
      </c>
      <c r="M20" s="363">
        <v>1807.36</v>
      </c>
      <c r="N20" s="23">
        <v>0</v>
      </c>
      <c r="O20" s="19">
        <f t="shared" si="11"/>
        <v>2349568</v>
      </c>
      <c r="P20" s="17">
        <v>0</v>
      </c>
      <c r="Q20" s="358">
        <v>0</v>
      </c>
      <c r="R20" s="19">
        <f t="shared" si="6"/>
        <v>0</v>
      </c>
      <c r="S20" s="259">
        <f t="shared" si="7"/>
        <v>19162.72</v>
      </c>
      <c r="T20" s="20">
        <f t="shared" si="10"/>
        <v>24911536</v>
      </c>
      <c r="U20" s="20">
        <v>13307099</v>
      </c>
      <c r="V20" s="403"/>
    </row>
    <row r="21" spans="1:22" ht="41.4" x14ac:dyDescent="0.3">
      <c r="A21" s="14" t="s">
        <v>56</v>
      </c>
      <c r="B21" s="481"/>
      <c r="C21" s="25" t="s">
        <v>57</v>
      </c>
      <c r="D21" s="102" t="s">
        <v>48</v>
      </c>
      <c r="E21" s="120">
        <v>13059.84</v>
      </c>
      <c r="F21" s="140">
        <v>1304</v>
      </c>
      <c r="G21" s="141">
        <v>17030031</v>
      </c>
      <c r="H21" s="131">
        <v>1300</v>
      </c>
      <c r="I21" s="16">
        <f t="shared" si="8"/>
        <v>16977792</v>
      </c>
      <c r="J21" s="22">
        <v>0</v>
      </c>
      <c r="K21" s="369">
        <v>-5091.7700000000004</v>
      </c>
      <c r="L21" s="24">
        <f t="shared" si="9"/>
        <v>-6619301</v>
      </c>
      <c r="M21" s="22">
        <v>0</v>
      </c>
      <c r="N21" s="23">
        <v>0</v>
      </c>
      <c r="O21" s="19">
        <f t="shared" si="11"/>
        <v>0</v>
      </c>
      <c r="P21" s="17">
        <v>0</v>
      </c>
      <c r="Q21" s="358">
        <v>0</v>
      </c>
      <c r="R21" s="19">
        <f t="shared" si="6"/>
        <v>0</v>
      </c>
      <c r="S21" s="259">
        <f t="shared" si="7"/>
        <v>7968.07</v>
      </c>
      <c r="T21" s="20">
        <f t="shared" si="10"/>
        <v>10358491</v>
      </c>
      <c r="U21" s="20">
        <v>10097412</v>
      </c>
      <c r="V21" s="403"/>
    </row>
    <row r="22" spans="1:22" ht="51" customHeight="1" x14ac:dyDescent="0.3">
      <c r="A22" s="14" t="s">
        <v>58</v>
      </c>
      <c r="B22" s="481"/>
      <c r="C22" s="25" t="s">
        <v>59</v>
      </c>
      <c r="D22" s="102" t="s">
        <v>48</v>
      </c>
      <c r="E22" s="120">
        <v>7804.46</v>
      </c>
      <c r="F22" s="140">
        <v>1304</v>
      </c>
      <c r="G22" s="141">
        <v>10177016</v>
      </c>
      <c r="H22" s="131">
        <v>1301</v>
      </c>
      <c r="I22" s="16">
        <f t="shared" si="8"/>
        <v>10153602</v>
      </c>
      <c r="J22" s="22">
        <v>0</v>
      </c>
      <c r="K22" s="362">
        <v>0</v>
      </c>
      <c r="L22" s="24">
        <f t="shared" si="9"/>
        <v>0</v>
      </c>
      <c r="M22" s="22">
        <v>0</v>
      </c>
      <c r="N22" s="23">
        <v>0</v>
      </c>
      <c r="O22" s="19">
        <f t="shared" si="11"/>
        <v>0</v>
      </c>
      <c r="P22" s="17">
        <v>0</v>
      </c>
      <c r="Q22" s="358">
        <v>0</v>
      </c>
      <c r="R22" s="19">
        <f t="shared" si="6"/>
        <v>0</v>
      </c>
      <c r="S22" s="259">
        <f t="shared" si="7"/>
        <v>7804.46</v>
      </c>
      <c r="T22" s="20">
        <f t="shared" si="10"/>
        <v>10153602</v>
      </c>
      <c r="U22" s="20">
        <v>13726267.706844263</v>
      </c>
      <c r="V22" s="403"/>
    </row>
    <row r="23" spans="1:22" ht="41.4" x14ac:dyDescent="0.3">
      <c r="A23" s="14" t="s">
        <v>60</v>
      </c>
      <c r="B23" s="481"/>
      <c r="C23" s="25" t="s">
        <v>61</v>
      </c>
      <c r="D23" s="102" t="s">
        <v>48</v>
      </c>
      <c r="E23" s="120">
        <v>17615.13</v>
      </c>
      <c r="F23" s="140">
        <v>1304</v>
      </c>
      <c r="G23" s="141">
        <v>22970130</v>
      </c>
      <c r="H23" s="131">
        <v>1301</v>
      </c>
      <c r="I23" s="16">
        <f t="shared" si="8"/>
        <v>22917284</v>
      </c>
      <c r="J23" s="22">
        <v>0</v>
      </c>
      <c r="K23" s="369">
        <v>-481.23</v>
      </c>
      <c r="L23" s="24">
        <f t="shared" si="9"/>
        <v>-626080</v>
      </c>
      <c r="M23" s="363">
        <v>987</v>
      </c>
      <c r="N23" s="23">
        <v>0</v>
      </c>
      <c r="O23" s="19">
        <f t="shared" si="11"/>
        <v>1284087</v>
      </c>
      <c r="P23" s="17">
        <v>0</v>
      </c>
      <c r="Q23" s="358">
        <v>0</v>
      </c>
      <c r="R23" s="19">
        <f t="shared" si="6"/>
        <v>0</v>
      </c>
      <c r="S23" s="259">
        <f t="shared" si="7"/>
        <v>18120.900000000001</v>
      </c>
      <c r="T23" s="20">
        <f t="shared" si="10"/>
        <v>23575291</v>
      </c>
      <c r="U23" s="20">
        <v>17428560</v>
      </c>
      <c r="V23" s="403"/>
    </row>
    <row r="24" spans="1:22" ht="55.2" x14ac:dyDescent="0.3">
      <c r="A24" s="14" t="s">
        <v>62</v>
      </c>
      <c r="B24" s="481"/>
      <c r="C24" s="25" t="s">
        <v>63</v>
      </c>
      <c r="D24" s="102" t="s">
        <v>48</v>
      </c>
      <c r="E24" s="120">
        <v>13545.9</v>
      </c>
      <c r="F24" s="140">
        <v>1304</v>
      </c>
      <c r="G24" s="141">
        <v>17663854</v>
      </c>
      <c r="H24" s="131">
        <v>1301</v>
      </c>
      <c r="I24" s="16">
        <f t="shared" si="8"/>
        <v>17623216</v>
      </c>
      <c r="J24" s="22">
        <v>0</v>
      </c>
      <c r="K24" s="23">
        <v>0</v>
      </c>
      <c r="L24" s="24">
        <f t="shared" si="9"/>
        <v>0</v>
      </c>
      <c r="M24" s="22">
        <v>0</v>
      </c>
      <c r="N24" s="23">
        <v>0</v>
      </c>
      <c r="O24" s="19">
        <f t="shared" si="11"/>
        <v>0</v>
      </c>
      <c r="P24" s="17">
        <v>0</v>
      </c>
      <c r="Q24" s="358">
        <v>0</v>
      </c>
      <c r="R24" s="19">
        <f t="shared" si="6"/>
        <v>0</v>
      </c>
      <c r="S24" s="259">
        <f t="shared" si="7"/>
        <v>13545.9</v>
      </c>
      <c r="T24" s="20">
        <f t="shared" si="10"/>
        <v>17623216</v>
      </c>
      <c r="U24" s="20">
        <v>17623216</v>
      </c>
      <c r="V24" s="403"/>
    </row>
    <row r="25" spans="1:22" ht="41.4" x14ac:dyDescent="0.3">
      <c r="A25" s="14" t="s">
        <v>64</v>
      </c>
      <c r="B25" s="481"/>
      <c r="C25" s="25" t="s">
        <v>65</v>
      </c>
      <c r="D25" s="102" t="s">
        <v>48</v>
      </c>
      <c r="E25" s="120">
        <v>16072.65</v>
      </c>
      <c r="F25" s="140">
        <v>1304</v>
      </c>
      <c r="G25" s="141">
        <v>20958736</v>
      </c>
      <c r="H25" s="131">
        <v>1301</v>
      </c>
      <c r="I25" s="16">
        <f t="shared" si="8"/>
        <v>20910518</v>
      </c>
      <c r="J25" s="22">
        <v>0</v>
      </c>
      <c r="K25" s="23">
        <v>0</v>
      </c>
      <c r="L25" s="24">
        <f t="shared" si="9"/>
        <v>0</v>
      </c>
      <c r="M25" s="22">
        <v>0</v>
      </c>
      <c r="N25" s="23">
        <v>0</v>
      </c>
      <c r="O25" s="19">
        <f t="shared" si="11"/>
        <v>0</v>
      </c>
      <c r="P25" s="17">
        <v>0</v>
      </c>
      <c r="Q25" s="358">
        <v>0</v>
      </c>
      <c r="R25" s="19">
        <f t="shared" si="6"/>
        <v>0</v>
      </c>
      <c r="S25" s="259">
        <f t="shared" si="7"/>
        <v>16072.65</v>
      </c>
      <c r="T25" s="20">
        <f t="shared" si="10"/>
        <v>20910518</v>
      </c>
      <c r="U25" s="20">
        <v>20910518</v>
      </c>
      <c r="V25" s="403"/>
    </row>
    <row r="26" spans="1:22" ht="14.4" x14ac:dyDescent="0.3">
      <c r="A26" s="5" t="s">
        <v>66</v>
      </c>
      <c r="B26" s="6" t="s">
        <v>67</v>
      </c>
      <c r="C26" s="26" t="s">
        <v>68</v>
      </c>
      <c r="D26" s="6" t="s">
        <v>69</v>
      </c>
      <c r="E26" s="35"/>
      <c r="F26" s="139"/>
      <c r="G26" s="138">
        <v>139639580</v>
      </c>
      <c r="H26" s="36"/>
      <c r="I26" s="11">
        <f>SUM(I27:I35)</f>
        <v>139310656</v>
      </c>
      <c r="J26" s="476"/>
      <c r="K26" s="477"/>
      <c r="L26" s="11">
        <f>SUM(L27:L35)</f>
        <v>-6320402</v>
      </c>
      <c r="M26" s="476"/>
      <c r="N26" s="477"/>
      <c r="O26" s="11">
        <f>SUM(O27:O35)</f>
        <v>0</v>
      </c>
      <c r="P26" s="348"/>
      <c r="Q26" s="348"/>
      <c r="R26" s="11">
        <f>SUM(R27:R35)</f>
        <v>0</v>
      </c>
      <c r="S26" s="27"/>
      <c r="T26" s="13">
        <f>SUM(T27:T35)</f>
        <v>132990254</v>
      </c>
      <c r="U26" s="13">
        <v>143679908.095974</v>
      </c>
      <c r="V26" s="404"/>
    </row>
    <row r="27" spans="1:22" ht="14.4" x14ac:dyDescent="0.3">
      <c r="A27" s="14" t="s">
        <v>70</v>
      </c>
      <c r="B27" s="481" t="s">
        <v>67</v>
      </c>
      <c r="C27" s="15" t="s">
        <v>71</v>
      </c>
      <c r="D27" s="102" t="s">
        <v>69</v>
      </c>
      <c r="E27" s="120">
        <v>9927.35</v>
      </c>
      <c r="F27" s="140">
        <v>1564</v>
      </c>
      <c r="G27" s="141">
        <v>15526375</v>
      </c>
      <c r="H27" s="131">
        <v>1560</v>
      </c>
      <c r="I27" s="16">
        <f t="shared" ref="I27:I35" si="12">ROUND(E27*H27,0)</f>
        <v>15486666</v>
      </c>
      <c r="J27" s="22">
        <v>0</v>
      </c>
      <c r="K27" s="23">
        <v>0</v>
      </c>
      <c r="L27" s="24">
        <f t="shared" ref="L27:L35" si="13">ROUND(+J27*H27+K27*H27,0)</f>
        <v>0</v>
      </c>
      <c r="M27" s="22">
        <v>0</v>
      </c>
      <c r="N27" s="23">
        <v>0</v>
      </c>
      <c r="O27" s="19">
        <f t="shared" si="11"/>
        <v>0</v>
      </c>
      <c r="P27" s="17">
        <v>0</v>
      </c>
      <c r="Q27" s="358">
        <v>0</v>
      </c>
      <c r="R27" s="19">
        <f t="shared" si="6"/>
        <v>0</v>
      </c>
      <c r="S27" s="259">
        <f t="shared" si="7"/>
        <v>9927.35</v>
      </c>
      <c r="T27" s="20">
        <f t="shared" ref="T27:T35" si="14">ROUND(H27*S27,0)</f>
        <v>15486666</v>
      </c>
      <c r="U27" s="20">
        <v>23712452.600000001</v>
      </c>
      <c r="V27" s="403"/>
    </row>
    <row r="28" spans="1:22" ht="14.4" x14ac:dyDescent="0.3">
      <c r="A28" s="14" t="s">
        <v>72</v>
      </c>
      <c r="B28" s="481"/>
      <c r="C28" s="15" t="s">
        <v>73</v>
      </c>
      <c r="D28" s="102" t="s">
        <v>69</v>
      </c>
      <c r="E28" s="120">
        <v>9860.7999999999993</v>
      </c>
      <c r="F28" s="140">
        <v>1564</v>
      </c>
      <c r="G28" s="141">
        <v>15422291</v>
      </c>
      <c r="H28" s="131">
        <v>1561</v>
      </c>
      <c r="I28" s="16">
        <f t="shared" si="12"/>
        <v>15392709</v>
      </c>
      <c r="J28" s="22">
        <v>0</v>
      </c>
      <c r="K28" s="23">
        <v>0</v>
      </c>
      <c r="L28" s="24">
        <f t="shared" si="13"/>
        <v>0</v>
      </c>
      <c r="M28" s="22">
        <v>0</v>
      </c>
      <c r="N28" s="23">
        <v>0</v>
      </c>
      <c r="O28" s="19">
        <f t="shared" si="11"/>
        <v>0</v>
      </c>
      <c r="P28" s="17">
        <v>0</v>
      </c>
      <c r="Q28" s="358">
        <v>0</v>
      </c>
      <c r="R28" s="19">
        <f t="shared" si="6"/>
        <v>0</v>
      </c>
      <c r="S28" s="259">
        <f t="shared" si="7"/>
        <v>9860.7999999999993</v>
      </c>
      <c r="T28" s="20">
        <f t="shared" si="14"/>
        <v>15392709</v>
      </c>
      <c r="U28" s="20">
        <v>5776434</v>
      </c>
      <c r="V28" s="403"/>
    </row>
    <row r="29" spans="1:22" ht="14.4" x14ac:dyDescent="0.3">
      <c r="A29" s="14" t="s">
        <v>74</v>
      </c>
      <c r="B29" s="481"/>
      <c r="C29" s="15" t="s">
        <v>75</v>
      </c>
      <c r="D29" s="102" t="s">
        <v>69</v>
      </c>
      <c r="E29" s="120">
        <v>8166.46</v>
      </c>
      <c r="F29" s="140">
        <v>1564</v>
      </c>
      <c r="G29" s="141">
        <v>12772343</v>
      </c>
      <c r="H29" s="131">
        <v>1561</v>
      </c>
      <c r="I29" s="16">
        <f t="shared" si="12"/>
        <v>12747844</v>
      </c>
      <c r="J29" s="22">
        <v>0</v>
      </c>
      <c r="K29" s="23">
        <v>0</v>
      </c>
      <c r="L29" s="24">
        <f t="shared" si="13"/>
        <v>0</v>
      </c>
      <c r="M29" s="22">
        <v>0</v>
      </c>
      <c r="N29" s="23">
        <v>0</v>
      </c>
      <c r="O29" s="19">
        <f t="shared" si="11"/>
        <v>0</v>
      </c>
      <c r="P29" s="381">
        <v>0</v>
      </c>
      <c r="Q29" s="358">
        <v>0</v>
      </c>
      <c r="R29" s="19">
        <f t="shared" si="6"/>
        <v>0</v>
      </c>
      <c r="S29" s="259">
        <f t="shared" si="7"/>
        <v>8166.46</v>
      </c>
      <c r="T29" s="20">
        <f t="shared" si="14"/>
        <v>12747844</v>
      </c>
      <c r="U29" s="20">
        <v>12644100</v>
      </c>
      <c r="V29" s="403"/>
    </row>
    <row r="30" spans="1:22" ht="14.4" x14ac:dyDescent="0.3">
      <c r="A30" s="14" t="s">
        <v>76</v>
      </c>
      <c r="B30" s="481"/>
      <c r="C30" s="15" t="s">
        <v>77</v>
      </c>
      <c r="D30" s="102" t="s">
        <v>69</v>
      </c>
      <c r="E30" s="120">
        <v>10369.32</v>
      </c>
      <c r="F30" s="140">
        <v>1564</v>
      </c>
      <c r="G30" s="141">
        <v>16217616</v>
      </c>
      <c r="H30" s="131">
        <v>1560</v>
      </c>
      <c r="I30" s="16">
        <f t="shared" si="12"/>
        <v>16176139</v>
      </c>
      <c r="J30" s="22">
        <v>0</v>
      </c>
      <c r="K30" s="23">
        <v>0</v>
      </c>
      <c r="L30" s="24">
        <f t="shared" si="13"/>
        <v>0</v>
      </c>
      <c r="M30" s="22">
        <v>0</v>
      </c>
      <c r="N30" s="23">
        <v>0</v>
      </c>
      <c r="O30" s="19">
        <f t="shared" si="11"/>
        <v>0</v>
      </c>
      <c r="P30" s="17">
        <v>0</v>
      </c>
      <c r="Q30" s="358">
        <v>0</v>
      </c>
      <c r="R30" s="19">
        <f t="shared" si="6"/>
        <v>0</v>
      </c>
      <c r="S30" s="259">
        <f t="shared" si="7"/>
        <v>10369.32</v>
      </c>
      <c r="T30" s="20">
        <f t="shared" si="14"/>
        <v>16176139</v>
      </c>
      <c r="U30" s="20">
        <v>14512637</v>
      </c>
      <c r="V30" s="403"/>
    </row>
    <row r="31" spans="1:22" ht="14.4" x14ac:dyDescent="0.3">
      <c r="A31" s="14" t="s">
        <v>78</v>
      </c>
      <c r="B31" s="481"/>
      <c r="C31" s="15" t="s">
        <v>79</v>
      </c>
      <c r="D31" s="102" t="s">
        <v>69</v>
      </c>
      <c r="E31" s="122">
        <v>10064</v>
      </c>
      <c r="F31" s="144">
        <v>1564</v>
      </c>
      <c r="G31" s="145">
        <v>15740096</v>
      </c>
      <c r="H31" s="131">
        <v>1560</v>
      </c>
      <c r="I31" s="16">
        <f t="shared" si="12"/>
        <v>15699840</v>
      </c>
      <c r="J31" s="22">
        <v>0</v>
      </c>
      <c r="K31" s="369">
        <v>-4051.54</v>
      </c>
      <c r="L31" s="24">
        <f t="shared" si="13"/>
        <v>-6320402</v>
      </c>
      <c r="M31" s="22">
        <v>0</v>
      </c>
      <c r="N31" s="23">
        <v>0</v>
      </c>
      <c r="O31" s="19">
        <f t="shared" si="11"/>
        <v>0</v>
      </c>
      <c r="P31" s="17">
        <v>0</v>
      </c>
      <c r="Q31" s="358">
        <v>0</v>
      </c>
      <c r="R31" s="19">
        <f t="shared" si="6"/>
        <v>0</v>
      </c>
      <c r="S31" s="259">
        <f t="shared" si="7"/>
        <v>6012.46</v>
      </c>
      <c r="T31" s="20">
        <f t="shared" si="14"/>
        <v>9379438</v>
      </c>
      <c r="U31" s="20">
        <v>11594807.840000002</v>
      </c>
      <c r="V31" s="403"/>
    </row>
    <row r="32" spans="1:22" ht="14.4" x14ac:dyDescent="0.3">
      <c r="A32" s="14" t="s">
        <v>80</v>
      </c>
      <c r="B32" s="481"/>
      <c r="C32" s="15" t="s">
        <v>81</v>
      </c>
      <c r="D32" s="102" t="s">
        <v>69</v>
      </c>
      <c r="E32" s="122">
        <v>10232.02</v>
      </c>
      <c r="F32" s="144">
        <v>1564</v>
      </c>
      <c r="G32" s="145">
        <v>16002879</v>
      </c>
      <c r="H32" s="131">
        <v>1560</v>
      </c>
      <c r="I32" s="16">
        <f t="shared" si="12"/>
        <v>15961951</v>
      </c>
      <c r="J32" s="22">
        <v>0</v>
      </c>
      <c r="K32" s="23">
        <v>0</v>
      </c>
      <c r="L32" s="24">
        <f t="shared" si="13"/>
        <v>0</v>
      </c>
      <c r="M32" s="22">
        <v>0</v>
      </c>
      <c r="N32" s="23">
        <v>0</v>
      </c>
      <c r="O32" s="19">
        <f t="shared" si="11"/>
        <v>0</v>
      </c>
      <c r="P32" s="17">
        <v>0</v>
      </c>
      <c r="Q32" s="358">
        <v>0</v>
      </c>
      <c r="R32" s="19">
        <f t="shared" si="6"/>
        <v>0</v>
      </c>
      <c r="S32" s="259">
        <f t="shared" si="7"/>
        <v>10232.02</v>
      </c>
      <c r="T32" s="20">
        <f t="shared" si="14"/>
        <v>15961951</v>
      </c>
      <c r="U32" s="20">
        <v>26883620.175973989</v>
      </c>
      <c r="V32" s="403"/>
    </row>
    <row r="33" spans="1:22" ht="14.4" x14ac:dyDescent="0.3">
      <c r="A33" s="14" t="s">
        <v>82</v>
      </c>
      <c r="B33" s="481"/>
      <c r="C33" s="15" t="s">
        <v>83</v>
      </c>
      <c r="D33" s="102" t="s">
        <v>69</v>
      </c>
      <c r="E33" s="122">
        <v>10181.790000000001</v>
      </c>
      <c r="F33" s="144">
        <v>1564</v>
      </c>
      <c r="G33" s="145">
        <v>15924320</v>
      </c>
      <c r="H33" s="131">
        <v>1561</v>
      </c>
      <c r="I33" s="16">
        <f t="shared" si="12"/>
        <v>15893774</v>
      </c>
      <c r="J33" s="22">
        <v>0</v>
      </c>
      <c r="K33" s="23">
        <v>0</v>
      </c>
      <c r="L33" s="24">
        <f t="shared" si="13"/>
        <v>0</v>
      </c>
      <c r="M33" s="22">
        <v>0</v>
      </c>
      <c r="N33" s="23">
        <v>0</v>
      </c>
      <c r="O33" s="19">
        <f t="shared" si="11"/>
        <v>0</v>
      </c>
      <c r="P33" s="17">
        <v>0</v>
      </c>
      <c r="Q33" s="358">
        <v>0</v>
      </c>
      <c r="R33" s="19">
        <f t="shared" si="6"/>
        <v>0</v>
      </c>
      <c r="S33" s="259">
        <f t="shared" si="7"/>
        <v>10181.790000000001</v>
      </c>
      <c r="T33" s="20">
        <f t="shared" si="14"/>
        <v>15893774</v>
      </c>
      <c r="U33" s="20">
        <v>12103494</v>
      </c>
      <c r="V33" s="403"/>
    </row>
    <row r="34" spans="1:22" ht="14.4" x14ac:dyDescent="0.3">
      <c r="A34" s="14" t="s">
        <v>84</v>
      </c>
      <c r="B34" s="481"/>
      <c r="C34" s="15" t="s">
        <v>85</v>
      </c>
      <c r="D34" s="102" t="s">
        <v>69</v>
      </c>
      <c r="E34" s="122">
        <v>10194.67</v>
      </c>
      <c r="F34" s="144">
        <v>1564</v>
      </c>
      <c r="G34" s="145">
        <v>15944464</v>
      </c>
      <c r="H34" s="131">
        <v>1560</v>
      </c>
      <c r="I34" s="16">
        <f t="shared" si="12"/>
        <v>15903685</v>
      </c>
      <c r="J34" s="22">
        <v>0</v>
      </c>
      <c r="K34" s="23">
        <v>0</v>
      </c>
      <c r="L34" s="24">
        <f t="shared" si="13"/>
        <v>0</v>
      </c>
      <c r="M34" s="22">
        <v>0</v>
      </c>
      <c r="N34" s="23">
        <v>0</v>
      </c>
      <c r="O34" s="19">
        <f t="shared" si="11"/>
        <v>0</v>
      </c>
      <c r="P34" s="17">
        <v>0</v>
      </c>
      <c r="Q34" s="358">
        <v>0</v>
      </c>
      <c r="R34" s="19">
        <f t="shared" si="6"/>
        <v>0</v>
      </c>
      <c r="S34" s="259">
        <f t="shared" si="7"/>
        <v>10194.67</v>
      </c>
      <c r="T34" s="20">
        <f t="shared" si="14"/>
        <v>15903685</v>
      </c>
      <c r="U34" s="20">
        <v>15903685</v>
      </c>
      <c r="V34" s="403"/>
    </row>
    <row r="35" spans="1:22" ht="14.4" x14ac:dyDescent="0.3">
      <c r="A35" s="14" t="s">
        <v>86</v>
      </c>
      <c r="B35" s="481"/>
      <c r="C35" s="15" t="s">
        <v>87</v>
      </c>
      <c r="D35" s="102" t="s">
        <v>69</v>
      </c>
      <c r="E35" s="122">
        <v>10287.209999999999</v>
      </c>
      <c r="F35" s="144">
        <v>1564</v>
      </c>
      <c r="G35" s="145">
        <v>16089196</v>
      </c>
      <c r="H35" s="131">
        <v>1560</v>
      </c>
      <c r="I35" s="16">
        <f t="shared" si="12"/>
        <v>16048048</v>
      </c>
      <c r="J35" s="22">
        <v>0</v>
      </c>
      <c r="K35" s="23">
        <v>0</v>
      </c>
      <c r="L35" s="24">
        <f t="shared" si="13"/>
        <v>0</v>
      </c>
      <c r="M35" s="22">
        <v>0</v>
      </c>
      <c r="N35" s="23">
        <v>0</v>
      </c>
      <c r="O35" s="19">
        <f t="shared" si="11"/>
        <v>0</v>
      </c>
      <c r="P35" s="17">
        <v>0</v>
      </c>
      <c r="Q35" s="358">
        <v>0</v>
      </c>
      <c r="R35" s="19">
        <f t="shared" si="6"/>
        <v>0</v>
      </c>
      <c r="S35" s="259">
        <f t="shared" si="7"/>
        <v>10287.209999999999</v>
      </c>
      <c r="T35" s="20">
        <f t="shared" si="14"/>
        <v>16048048</v>
      </c>
      <c r="U35" s="20">
        <v>20548677.48</v>
      </c>
      <c r="V35" s="403"/>
    </row>
    <row r="36" spans="1:22" ht="27.6" x14ac:dyDescent="0.3">
      <c r="A36" s="28" t="s">
        <v>88</v>
      </c>
      <c r="B36" s="6" t="s">
        <v>89</v>
      </c>
      <c r="C36" s="29" t="s">
        <v>90</v>
      </c>
      <c r="D36" s="6" t="s">
        <v>91</v>
      </c>
      <c r="E36" s="35"/>
      <c r="F36" s="139"/>
      <c r="G36" s="138">
        <v>1723615030.0999999</v>
      </c>
      <c r="H36" s="36"/>
      <c r="I36" s="11">
        <f>SUM(I37:I45)</f>
        <v>1723564739</v>
      </c>
      <c r="J36" s="476"/>
      <c r="K36" s="477"/>
      <c r="L36" s="11">
        <f>SUM(L37:L45)</f>
        <v>-69333054</v>
      </c>
      <c r="M36" s="476"/>
      <c r="N36" s="477"/>
      <c r="O36" s="11">
        <f>SUM(O37:O45)</f>
        <v>0</v>
      </c>
      <c r="P36" s="348"/>
      <c r="Q36" s="348"/>
      <c r="R36" s="11">
        <f>SUM(R37:R45)</f>
        <v>0</v>
      </c>
      <c r="S36" s="27"/>
      <c r="T36" s="13">
        <f>SUM(T37:T45)</f>
        <v>1654231685</v>
      </c>
      <c r="U36" s="13">
        <v>1603310634.1521468</v>
      </c>
      <c r="V36" s="404"/>
    </row>
    <row r="37" spans="1:22" ht="29.25" customHeight="1" x14ac:dyDescent="0.3">
      <c r="A37" s="14" t="s">
        <v>92</v>
      </c>
      <c r="B37" s="481" t="s">
        <v>89</v>
      </c>
      <c r="C37" s="15" t="s">
        <v>93</v>
      </c>
      <c r="D37" s="30" t="s">
        <v>25</v>
      </c>
      <c r="E37" s="123">
        <v>1489.1</v>
      </c>
      <c r="F37" s="146">
        <v>103048</v>
      </c>
      <c r="G37" s="147">
        <v>153448777</v>
      </c>
      <c r="H37" s="131">
        <v>103044</v>
      </c>
      <c r="I37" s="31">
        <f t="shared" ref="I37:I45" si="15">ROUND(E37*H37,0)</f>
        <v>153442820</v>
      </c>
      <c r="J37" s="22">
        <v>0</v>
      </c>
      <c r="K37" s="23">
        <v>0</v>
      </c>
      <c r="L37" s="24">
        <f t="shared" ref="L37:L45" si="16">ROUND(+J37*H37+K37*H37,0)</f>
        <v>0</v>
      </c>
      <c r="M37" s="22">
        <v>0</v>
      </c>
      <c r="N37" s="23">
        <v>0</v>
      </c>
      <c r="O37" s="19">
        <f t="shared" si="11"/>
        <v>0</v>
      </c>
      <c r="P37" s="17">
        <v>0</v>
      </c>
      <c r="Q37" s="358">
        <v>0</v>
      </c>
      <c r="R37" s="19">
        <f t="shared" si="6"/>
        <v>0</v>
      </c>
      <c r="S37" s="259">
        <f t="shared" si="7"/>
        <v>1489.1</v>
      </c>
      <c r="T37" s="20">
        <f t="shared" ref="T37:T45" si="17">ROUND(H37*S37,0)</f>
        <v>153442820</v>
      </c>
      <c r="U37" s="20">
        <v>152469055</v>
      </c>
      <c r="V37" s="403"/>
    </row>
    <row r="38" spans="1:22" ht="25.5" customHeight="1" x14ac:dyDescent="0.3">
      <c r="A38" s="14" t="s">
        <v>94</v>
      </c>
      <c r="B38" s="481"/>
      <c r="C38" s="15" t="s">
        <v>95</v>
      </c>
      <c r="D38" s="30" t="s">
        <v>25</v>
      </c>
      <c r="E38" s="123">
        <v>1453.05</v>
      </c>
      <c r="F38" s="146">
        <v>174834</v>
      </c>
      <c r="G38" s="147">
        <v>254042544</v>
      </c>
      <c r="H38" s="131">
        <v>174830</v>
      </c>
      <c r="I38" s="31">
        <f t="shared" si="15"/>
        <v>254036732</v>
      </c>
      <c r="J38" s="22">
        <v>0</v>
      </c>
      <c r="K38" s="23">
        <v>0</v>
      </c>
      <c r="L38" s="24">
        <f t="shared" si="16"/>
        <v>0</v>
      </c>
      <c r="M38" s="22">
        <v>0</v>
      </c>
      <c r="N38" s="23">
        <v>0</v>
      </c>
      <c r="O38" s="19">
        <f t="shared" si="11"/>
        <v>0</v>
      </c>
      <c r="P38" s="17">
        <v>0</v>
      </c>
      <c r="Q38" s="358">
        <v>0</v>
      </c>
      <c r="R38" s="19">
        <f t="shared" si="6"/>
        <v>0</v>
      </c>
      <c r="S38" s="259">
        <f t="shared" si="7"/>
        <v>1453.05</v>
      </c>
      <c r="T38" s="20">
        <f t="shared" si="17"/>
        <v>254036732</v>
      </c>
      <c r="U38" s="20">
        <v>95331302.399999991</v>
      </c>
      <c r="V38" s="403"/>
    </row>
    <row r="39" spans="1:22" ht="27.6" x14ac:dyDescent="0.3">
      <c r="A39" s="14" t="s">
        <v>96</v>
      </c>
      <c r="B39" s="481"/>
      <c r="C39" s="15" t="s">
        <v>97</v>
      </c>
      <c r="D39" s="30" t="s">
        <v>25</v>
      </c>
      <c r="E39" s="123">
        <v>1455.48</v>
      </c>
      <c r="F39" s="146">
        <v>97185</v>
      </c>
      <c r="G39" s="147">
        <v>141450824</v>
      </c>
      <c r="H39" s="131">
        <v>97181</v>
      </c>
      <c r="I39" s="31">
        <f t="shared" si="15"/>
        <v>141445002</v>
      </c>
      <c r="J39" s="22">
        <v>0</v>
      </c>
      <c r="K39" s="23">
        <v>0</v>
      </c>
      <c r="L39" s="24">
        <f t="shared" si="16"/>
        <v>0</v>
      </c>
      <c r="M39" s="22">
        <v>0</v>
      </c>
      <c r="N39" s="23">
        <v>0</v>
      </c>
      <c r="O39" s="19">
        <f t="shared" si="11"/>
        <v>0</v>
      </c>
      <c r="P39" s="17">
        <v>0</v>
      </c>
      <c r="Q39" s="358">
        <v>0</v>
      </c>
      <c r="R39" s="19">
        <f t="shared" si="6"/>
        <v>0</v>
      </c>
      <c r="S39" s="259">
        <f t="shared" si="7"/>
        <v>1455.48</v>
      </c>
      <c r="T39" s="20">
        <f t="shared" si="17"/>
        <v>141445002</v>
      </c>
      <c r="U39" s="20">
        <v>141473184.5</v>
      </c>
      <c r="V39" s="403"/>
    </row>
    <row r="40" spans="1:22" ht="26.25" customHeight="1" x14ac:dyDescent="0.3">
      <c r="A40" s="14" t="s">
        <v>98</v>
      </c>
      <c r="B40" s="481"/>
      <c r="C40" s="15" t="s">
        <v>99</v>
      </c>
      <c r="D40" s="30" t="s">
        <v>25</v>
      </c>
      <c r="E40" s="123">
        <v>1516.92</v>
      </c>
      <c r="F40" s="146">
        <v>91823</v>
      </c>
      <c r="G40" s="147">
        <v>139288145</v>
      </c>
      <c r="H40" s="131">
        <v>91819</v>
      </c>
      <c r="I40" s="31">
        <f t="shared" si="15"/>
        <v>139282077</v>
      </c>
      <c r="J40" s="22">
        <v>0</v>
      </c>
      <c r="K40" s="23">
        <v>0</v>
      </c>
      <c r="L40" s="24">
        <f t="shared" si="16"/>
        <v>0</v>
      </c>
      <c r="M40" s="22">
        <v>0</v>
      </c>
      <c r="N40" s="23">
        <v>0</v>
      </c>
      <c r="O40" s="19">
        <f t="shared" si="11"/>
        <v>0</v>
      </c>
      <c r="P40" s="17">
        <v>0</v>
      </c>
      <c r="Q40" s="358">
        <v>0</v>
      </c>
      <c r="R40" s="19">
        <f t="shared" si="6"/>
        <v>0</v>
      </c>
      <c r="S40" s="259">
        <f t="shared" si="7"/>
        <v>1516.92</v>
      </c>
      <c r="T40" s="20">
        <f t="shared" si="17"/>
        <v>139282077</v>
      </c>
      <c r="U40" s="20">
        <v>127625062</v>
      </c>
      <c r="V40" s="403"/>
    </row>
    <row r="41" spans="1:22" ht="27.6" x14ac:dyDescent="0.3">
      <c r="A41" s="14" t="s">
        <v>100</v>
      </c>
      <c r="B41" s="481"/>
      <c r="C41" s="15" t="s">
        <v>101</v>
      </c>
      <c r="D41" s="30" t="s">
        <v>25</v>
      </c>
      <c r="E41" s="124">
        <v>1482.13</v>
      </c>
      <c r="F41" s="148">
        <v>116204</v>
      </c>
      <c r="G41" s="149">
        <v>172229435</v>
      </c>
      <c r="H41" s="131">
        <v>116200</v>
      </c>
      <c r="I41" s="31">
        <f t="shared" si="15"/>
        <v>172223506</v>
      </c>
      <c r="J41" s="22">
        <v>0</v>
      </c>
      <c r="K41" s="369">
        <f>-'[7]DEVOLUCION CHADO '!$I$13</f>
        <v>-596.66999999999996</v>
      </c>
      <c r="L41" s="24">
        <f t="shared" si="16"/>
        <v>-69333054</v>
      </c>
      <c r="M41" s="22">
        <v>0</v>
      </c>
      <c r="N41" s="23">
        <v>0</v>
      </c>
      <c r="O41" s="19">
        <f t="shared" si="11"/>
        <v>0</v>
      </c>
      <c r="P41" s="17">
        <v>0</v>
      </c>
      <c r="Q41" s="358">
        <v>0</v>
      </c>
      <c r="R41" s="19">
        <f>ROUND(+P41*H41+Q41*H41,0)</f>
        <v>0</v>
      </c>
      <c r="S41" s="259">
        <f t="shared" si="7"/>
        <v>885.46000000000015</v>
      </c>
      <c r="T41" s="20">
        <f t="shared" si="17"/>
        <v>102890452</v>
      </c>
      <c r="U41" s="20">
        <v>107695965.93600002</v>
      </c>
      <c r="V41" s="403"/>
    </row>
    <row r="42" spans="1:22" ht="27.6" x14ac:dyDescent="0.3">
      <c r="A42" s="14" t="s">
        <v>102</v>
      </c>
      <c r="B42" s="481"/>
      <c r="C42" s="15" t="s">
        <v>103</v>
      </c>
      <c r="D42" s="30" t="s">
        <v>25</v>
      </c>
      <c r="E42" s="124">
        <v>1478.42</v>
      </c>
      <c r="F42" s="148">
        <v>122539</v>
      </c>
      <c r="G42" s="149">
        <v>181164108</v>
      </c>
      <c r="H42" s="131">
        <v>122536</v>
      </c>
      <c r="I42" s="31">
        <f t="shared" si="15"/>
        <v>181159673</v>
      </c>
      <c r="J42" s="22">
        <v>0</v>
      </c>
      <c r="K42" s="23">
        <v>0</v>
      </c>
      <c r="L42" s="24">
        <f t="shared" si="16"/>
        <v>0</v>
      </c>
      <c r="M42" s="22">
        <v>0</v>
      </c>
      <c r="N42" s="23">
        <v>0</v>
      </c>
      <c r="O42" s="19">
        <f t="shared" si="11"/>
        <v>0</v>
      </c>
      <c r="P42" s="17">
        <v>0</v>
      </c>
      <c r="Q42" s="358">
        <v>0</v>
      </c>
      <c r="R42" s="19">
        <f t="shared" si="6"/>
        <v>0</v>
      </c>
      <c r="S42" s="259">
        <f t="shared" si="7"/>
        <v>1478.42</v>
      </c>
      <c r="T42" s="20">
        <f t="shared" si="17"/>
        <v>181159673</v>
      </c>
      <c r="U42" s="20">
        <v>314687316.85214692</v>
      </c>
      <c r="V42" s="403"/>
    </row>
    <row r="43" spans="1:22" ht="27.6" x14ac:dyDescent="0.3">
      <c r="A43" s="14" t="s">
        <v>104</v>
      </c>
      <c r="B43" s="481"/>
      <c r="C43" s="15" t="s">
        <v>105</v>
      </c>
      <c r="D43" s="30" t="s">
        <v>25</v>
      </c>
      <c r="E43" s="122">
        <v>1462.65</v>
      </c>
      <c r="F43" s="144">
        <v>109483</v>
      </c>
      <c r="G43" s="145">
        <v>160135310</v>
      </c>
      <c r="H43" s="131">
        <v>109479</v>
      </c>
      <c r="I43" s="31">
        <f t="shared" si="15"/>
        <v>160129459</v>
      </c>
      <c r="J43" s="22">
        <v>0</v>
      </c>
      <c r="K43" s="23">
        <v>0</v>
      </c>
      <c r="L43" s="24">
        <f t="shared" si="16"/>
        <v>0</v>
      </c>
      <c r="M43" s="22">
        <v>0</v>
      </c>
      <c r="N43" s="23">
        <v>0</v>
      </c>
      <c r="O43" s="19">
        <f t="shared" si="11"/>
        <v>0</v>
      </c>
      <c r="P43" s="17">
        <v>0</v>
      </c>
      <c r="Q43" s="358">
        <v>0</v>
      </c>
      <c r="R43" s="19">
        <f t="shared" si="6"/>
        <v>0</v>
      </c>
      <c r="S43" s="259">
        <f t="shared" si="7"/>
        <v>1462.65</v>
      </c>
      <c r="T43" s="20">
        <f t="shared" si="17"/>
        <v>160129459</v>
      </c>
      <c r="U43" s="20">
        <v>121960701</v>
      </c>
      <c r="V43" s="403"/>
    </row>
    <row r="44" spans="1:22" ht="27.6" x14ac:dyDescent="0.3">
      <c r="A44" s="14" t="s">
        <v>106</v>
      </c>
      <c r="B44" s="481"/>
      <c r="C44" s="15" t="s">
        <v>107</v>
      </c>
      <c r="D44" s="30" t="s">
        <v>25</v>
      </c>
      <c r="E44" s="124">
        <v>1463.45</v>
      </c>
      <c r="F44" s="148">
        <v>207438</v>
      </c>
      <c r="G44" s="149">
        <v>303575141.10000002</v>
      </c>
      <c r="H44" s="131">
        <v>207434</v>
      </c>
      <c r="I44" s="31">
        <f t="shared" si="15"/>
        <v>303569287</v>
      </c>
      <c r="J44" s="22">
        <v>0</v>
      </c>
      <c r="K44" s="23">
        <v>0</v>
      </c>
      <c r="L44" s="24">
        <f t="shared" si="16"/>
        <v>0</v>
      </c>
      <c r="M44" s="22">
        <v>0</v>
      </c>
      <c r="N44" s="23">
        <v>0</v>
      </c>
      <c r="O44" s="19">
        <f t="shared" si="11"/>
        <v>0</v>
      </c>
      <c r="P44" s="17">
        <v>0</v>
      </c>
      <c r="Q44" s="358">
        <v>0</v>
      </c>
      <c r="R44" s="19">
        <f t="shared" si="6"/>
        <v>0</v>
      </c>
      <c r="S44" s="259">
        <f t="shared" si="7"/>
        <v>1463.45</v>
      </c>
      <c r="T44" s="20">
        <f t="shared" si="17"/>
        <v>303569287</v>
      </c>
      <c r="U44" s="20">
        <v>310290148.60000002</v>
      </c>
      <c r="V44" s="403"/>
    </row>
    <row r="45" spans="1:22" ht="27.6" x14ac:dyDescent="0.3">
      <c r="A45" s="14" t="s">
        <v>108</v>
      </c>
      <c r="B45" s="481"/>
      <c r="C45" s="15" t="s">
        <v>109</v>
      </c>
      <c r="D45" s="30" t="s">
        <v>25</v>
      </c>
      <c r="E45" s="122">
        <v>1520.94</v>
      </c>
      <c r="F45" s="144">
        <v>143517</v>
      </c>
      <c r="G45" s="145">
        <v>218280746</v>
      </c>
      <c r="H45" s="131">
        <v>143514</v>
      </c>
      <c r="I45" s="31">
        <f t="shared" si="15"/>
        <v>218276183</v>
      </c>
      <c r="J45" s="22">
        <v>0</v>
      </c>
      <c r="K45" s="23">
        <v>0</v>
      </c>
      <c r="L45" s="24">
        <f t="shared" si="16"/>
        <v>0</v>
      </c>
      <c r="M45" s="22">
        <v>0</v>
      </c>
      <c r="N45" s="23">
        <v>0</v>
      </c>
      <c r="O45" s="19">
        <f t="shared" si="11"/>
        <v>0</v>
      </c>
      <c r="P45" s="17">
        <v>0</v>
      </c>
      <c r="Q45" s="358">
        <v>0</v>
      </c>
      <c r="R45" s="19">
        <f t="shared" si="6"/>
        <v>0</v>
      </c>
      <c r="S45" s="259">
        <f t="shared" si="7"/>
        <v>1520.94</v>
      </c>
      <c r="T45" s="20">
        <f t="shared" si="17"/>
        <v>218276183</v>
      </c>
      <c r="U45" s="20">
        <v>231777897.86400002</v>
      </c>
      <c r="V45" s="403"/>
    </row>
    <row r="46" spans="1:22" ht="14.4" x14ac:dyDescent="0.3">
      <c r="A46" s="28" t="s">
        <v>110</v>
      </c>
      <c r="B46" s="6">
        <v>610.1</v>
      </c>
      <c r="C46" s="29" t="s">
        <v>111</v>
      </c>
      <c r="D46" s="6" t="s">
        <v>25</v>
      </c>
      <c r="E46" s="35"/>
      <c r="F46" s="139"/>
      <c r="G46" s="138">
        <v>986650003</v>
      </c>
      <c r="H46" s="36"/>
      <c r="I46" s="11">
        <f>SUM(I47:I55)</f>
        <v>986622208</v>
      </c>
      <c r="J46" s="476"/>
      <c r="K46" s="477"/>
      <c r="L46" s="11">
        <f>SUM(L47:L55)</f>
        <v>-691284</v>
      </c>
      <c r="M46" s="476"/>
      <c r="N46" s="477"/>
      <c r="O46" s="11">
        <f>SUM(O47:O55)</f>
        <v>89557914</v>
      </c>
      <c r="P46" s="348"/>
      <c r="Q46" s="348"/>
      <c r="R46" s="11">
        <f>SUM(R47:R55)</f>
        <v>0</v>
      </c>
      <c r="S46" s="27"/>
      <c r="T46" s="13">
        <f>SUM(T47:T55)</f>
        <v>1075488838</v>
      </c>
      <c r="U46" s="13">
        <v>818112027.30237985</v>
      </c>
      <c r="V46" s="404"/>
    </row>
    <row r="47" spans="1:22" ht="14.4" x14ac:dyDescent="0.3">
      <c r="A47" s="14" t="s">
        <v>112</v>
      </c>
      <c r="B47" s="481">
        <v>610.1</v>
      </c>
      <c r="C47" s="25" t="s">
        <v>113</v>
      </c>
      <c r="D47" s="102" t="s">
        <v>25</v>
      </c>
      <c r="E47" s="125">
        <v>732.31</v>
      </c>
      <c r="F47" s="150">
        <v>99051</v>
      </c>
      <c r="G47" s="151">
        <v>72536038</v>
      </c>
      <c r="H47" s="131">
        <v>99047</v>
      </c>
      <c r="I47" s="31">
        <f t="shared" ref="I47:I55" si="18">ROUND(E47*H47,0)</f>
        <v>72533109</v>
      </c>
      <c r="J47" s="370">
        <v>210</v>
      </c>
      <c r="K47" s="23"/>
      <c r="L47" s="24">
        <f t="shared" ref="L47:L55" si="19">ROUND(+J47*H47+K47*H47,0)</f>
        <v>20799870</v>
      </c>
      <c r="M47" s="22">
        <v>0</v>
      </c>
      <c r="N47" s="23">
        <v>0</v>
      </c>
      <c r="O47" s="19">
        <f t="shared" si="11"/>
        <v>0</v>
      </c>
      <c r="P47" s="17">
        <v>0</v>
      </c>
      <c r="Q47" s="358">
        <v>0</v>
      </c>
      <c r="R47" s="19">
        <f t="shared" si="6"/>
        <v>0</v>
      </c>
      <c r="S47" s="259">
        <f t="shared" si="7"/>
        <v>942.31</v>
      </c>
      <c r="T47" s="20">
        <f t="shared" ref="T47:T55" si="20">ROUND(H47*S47,0)</f>
        <v>93332979</v>
      </c>
      <c r="U47" s="20">
        <v>70013352.680000007</v>
      </c>
      <c r="V47" s="403"/>
    </row>
    <row r="48" spans="1:22" ht="14.4" x14ac:dyDescent="0.3">
      <c r="A48" s="14" t="s">
        <v>114</v>
      </c>
      <c r="B48" s="481"/>
      <c r="C48" s="25" t="s">
        <v>115</v>
      </c>
      <c r="D48" s="102" t="s">
        <v>25</v>
      </c>
      <c r="E48" s="125">
        <v>1021.68</v>
      </c>
      <c r="F48" s="150">
        <v>170837</v>
      </c>
      <c r="G48" s="151">
        <v>174540746</v>
      </c>
      <c r="H48" s="131">
        <v>170833</v>
      </c>
      <c r="I48" s="31">
        <f t="shared" si="18"/>
        <v>174536659</v>
      </c>
      <c r="J48" s="22">
        <v>0</v>
      </c>
      <c r="K48" s="371">
        <v>-42.85</v>
      </c>
      <c r="L48" s="24">
        <f t="shared" si="19"/>
        <v>-7320194</v>
      </c>
      <c r="M48" s="22">
        <v>42.85</v>
      </c>
      <c r="N48" s="23">
        <v>0</v>
      </c>
      <c r="O48" s="19">
        <f t="shared" si="11"/>
        <v>7320194</v>
      </c>
      <c r="P48" s="17">
        <v>0</v>
      </c>
      <c r="Q48" s="358">
        <v>0</v>
      </c>
      <c r="R48" s="19">
        <f t="shared" si="6"/>
        <v>0</v>
      </c>
      <c r="S48" s="259">
        <f t="shared" si="7"/>
        <v>1021.68</v>
      </c>
      <c r="T48" s="20">
        <f t="shared" si="20"/>
        <v>174536659</v>
      </c>
      <c r="U48" s="20">
        <v>65497372.199999996</v>
      </c>
      <c r="V48" s="403"/>
    </row>
    <row r="49" spans="1:22" ht="16.5" customHeight="1" x14ac:dyDescent="0.3">
      <c r="A49" s="14" t="s">
        <v>116</v>
      </c>
      <c r="B49" s="481"/>
      <c r="C49" s="25" t="s">
        <v>117</v>
      </c>
      <c r="D49" s="102" t="s">
        <v>25</v>
      </c>
      <c r="E49" s="125">
        <v>825.31999999999994</v>
      </c>
      <c r="F49" s="150">
        <v>93188</v>
      </c>
      <c r="G49" s="151">
        <v>76909920</v>
      </c>
      <c r="H49" s="131">
        <v>93184</v>
      </c>
      <c r="I49" s="31">
        <f t="shared" si="18"/>
        <v>76906619</v>
      </c>
      <c r="J49" s="22">
        <v>0</v>
      </c>
      <c r="K49" s="23">
        <v>0</v>
      </c>
      <c r="L49" s="24">
        <f t="shared" si="19"/>
        <v>0</v>
      </c>
      <c r="M49" s="22">
        <v>0</v>
      </c>
      <c r="N49" s="316">
        <v>0</v>
      </c>
      <c r="O49" s="19">
        <f t="shared" si="11"/>
        <v>0</v>
      </c>
      <c r="P49" s="17">
        <v>0</v>
      </c>
      <c r="Q49" s="358">
        <v>0</v>
      </c>
      <c r="R49" s="19">
        <f t="shared" si="6"/>
        <v>0</v>
      </c>
      <c r="S49" s="259">
        <f t="shared" si="7"/>
        <v>825.31999999999994</v>
      </c>
      <c r="T49" s="20">
        <f t="shared" si="20"/>
        <v>76906619</v>
      </c>
      <c r="U49" s="20">
        <v>73428992</v>
      </c>
      <c r="V49" s="403"/>
    </row>
    <row r="50" spans="1:22" ht="14.4" x14ac:dyDescent="0.3">
      <c r="A50" s="14" t="s">
        <v>118</v>
      </c>
      <c r="B50" s="481"/>
      <c r="C50" s="15" t="s">
        <v>119</v>
      </c>
      <c r="D50" s="102" t="s">
        <v>25</v>
      </c>
      <c r="E50" s="125">
        <v>735.63</v>
      </c>
      <c r="F50" s="150">
        <v>87826</v>
      </c>
      <c r="G50" s="151">
        <v>64607440</v>
      </c>
      <c r="H50" s="131">
        <v>87822</v>
      </c>
      <c r="I50" s="31">
        <f t="shared" si="18"/>
        <v>64604498</v>
      </c>
      <c r="J50" s="22">
        <v>0</v>
      </c>
      <c r="K50" s="23">
        <v>0</v>
      </c>
      <c r="L50" s="24">
        <f t="shared" si="19"/>
        <v>0</v>
      </c>
      <c r="M50" s="363">
        <v>480</v>
      </c>
      <c r="N50" s="23">
        <v>0</v>
      </c>
      <c r="O50" s="19">
        <f t="shared" si="11"/>
        <v>42154560</v>
      </c>
      <c r="P50" s="17">
        <v>0</v>
      </c>
      <c r="Q50" s="358">
        <v>0</v>
      </c>
      <c r="R50" s="19">
        <f t="shared" si="6"/>
        <v>0</v>
      </c>
      <c r="S50" s="259">
        <f t="shared" si="7"/>
        <v>1215.6300000000001</v>
      </c>
      <c r="T50" s="20">
        <f t="shared" si="20"/>
        <v>106759058</v>
      </c>
      <c r="U50" s="20">
        <v>40898508</v>
      </c>
      <c r="V50" s="403"/>
    </row>
    <row r="51" spans="1:22" ht="16.5" customHeight="1" x14ac:dyDescent="0.3">
      <c r="A51" s="14" t="s">
        <v>120</v>
      </c>
      <c r="B51" s="481"/>
      <c r="C51" s="15" t="s">
        <v>121</v>
      </c>
      <c r="D51" s="102" t="s">
        <v>25</v>
      </c>
      <c r="E51" s="122">
        <v>140.74</v>
      </c>
      <c r="F51" s="144">
        <v>112207</v>
      </c>
      <c r="G51" s="145">
        <v>15792013</v>
      </c>
      <c r="H51" s="131">
        <v>112204</v>
      </c>
      <c r="I51" s="31">
        <f t="shared" si="18"/>
        <v>15791591</v>
      </c>
      <c r="J51" s="22">
        <v>0</v>
      </c>
      <c r="K51" s="371">
        <f>-'[7]DEVOLUCION CHADO '!$I$15</f>
        <v>-57.036000000000001</v>
      </c>
      <c r="L51" s="24">
        <f t="shared" si="19"/>
        <v>-6399667</v>
      </c>
      <c r="M51" s="22">
        <v>0</v>
      </c>
      <c r="N51" s="23">
        <v>0</v>
      </c>
      <c r="O51" s="19">
        <f t="shared" si="11"/>
        <v>0</v>
      </c>
      <c r="P51" s="17">
        <v>0</v>
      </c>
      <c r="Q51" s="358">
        <v>0</v>
      </c>
      <c r="R51" s="19">
        <f t="shared" si="6"/>
        <v>0</v>
      </c>
      <c r="S51" s="259">
        <f t="shared" si="7"/>
        <v>83.704000000000008</v>
      </c>
      <c r="T51" s="20">
        <f t="shared" si="20"/>
        <v>9391924</v>
      </c>
      <c r="U51" s="20">
        <v>9521861.1199999992</v>
      </c>
      <c r="V51" s="403"/>
    </row>
    <row r="52" spans="1:22" ht="16.5" customHeight="1" x14ac:dyDescent="0.3">
      <c r="A52" s="14" t="s">
        <v>122</v>
      </c>
      <c r="B52" s="481"/>
      <c r="C52" s="15" t="s">
        <v>123</v>
      </c>
      <c r="D52" s="102" t="s">
        <v>25</v>
      </c>
      <c r="E52" s="122">
        <v>442.76</v>
      </c>
      <c r="F52" s="144">
        <v>118542</v>
      </c>
      <c r="G52" s="145">
        <v>52485656</v>
      </c>
      <c r="H52" s="131">
        <v>118539</v>
      </c>
      <c r="I52" s="31">
        <f t="shared" si="18"/>
        <v>52484328</v>
      </c>
      <c r="J52" s="22">
        <v>0</v>
      </c>
      <c r="K52" s="23">
        <v>0</v>
      </c>
      <c r="L52" s="24">
        <f t="shared" si="19"/>
        <v>0</v>
      </c>
      <c r="M52" s="22">
        <v>0</v>
      </c>
      <c r="N52" s="23">
        <v>0</v>
      </c>
      <c r="O52" s="19">
        <f t="shared" si="11"/>
        <v>0</v>
      </c>
      <c r="P52" s="17">
        <v>0</v>
      </c>
      <c r="Q52" s="358">
        <v>0</v>
      </c>
      <c r="R52" s="19">
        <f t="shared" si="6"/>
        <v>0</v>
      </c>
      <c r="S52" s="259">
        <f t="shared" si="7"/>
        <v>442.76</v>
      </c>
      <c r="T52" s="20">
        <f t="shared" si="20"/>
        <v>52484328</v>
      </c>
      <c r="U52" s="20">
        <v>54736122.202379718</v>
      </c>
      <c r="V52" s="403"/>
    </row>
    <row r="53" spans="1:22" ht="14.4" x14ac:dyDescent="0.3">
      <c r="A53" s="14" t="s">
        <v>124</v>
      </c>
      <c r="B53" s="481"/>
      <c r="C53" s="15" t="s">
        <v>125</v>
      </c>
      <c r="D53" s="102" t="s">
        <v>25</v>
      </c>
      <c r="E53" s="122">
        <v>1018.89</v>
      </c>
      <c r="F53" s="144">
        <v>105486</v>
      </c>
      <c r="G53" s="145">
        <v>107478631</v>
      </c>
      <c r="H53" s="131">
        <v>105482</v>
      </c>
      <c r="I53" s="31">
        <f t="shared" si="18"/>
        <v>107474555</v>
      </c>
      <c r="J53" s="22">
        <v>0</v>
      </c>
      <c r="K53" s="23">
        <v>0</v>
      </c>
      <c r="L53" s="24">
        <f t="shared" si="19"/>
        <v>0</v>
      </c>
      <c r="M53" s="363">
        <v>380</v>
      </c>
      <c r="N53" s="23">
        <v>0</v>
      </c>
      <c r="O53" s="19">
        <f t="shared" si="11"/>
        <v>40083160</v>
      </c>
      <c r="P53" s="17">
        <v>0</v>
      </c>
      <c r="Q53" s="358">
        <v>0</v>
      </c>
      <c r="R53" s="19">
        <f t="shared" si="6"/>
        <v>0</v>
      </c>
      <c r="S53" s="259">
        <f t="shared" si="7"/>
        <v>1398.8899999999999</v>
      </c>
      <c r="T53" s="20">
        <f t="shared" si="20"/>
        <v>147557715</v>
      </c>
      <c r="U53" s="20">
        <v>81897280</v>
      </c>
      <c r="V53" s="403"/>
    </row>
    <row r="54" spans="1:22" ht="14.4" x14ac:dyDescent="0.3">
      <c r="A54" s="14" t="s">
        <v>126</v>
      </c>
      <c r="B54" s="481"/>
      <c r="C54" s="15" t="s">
        <v>127</v>
      </c>
      <c r="D54" s="102" t="s">
        <v>25</v>
      </c>
      <c r="E54" s="122">
        <v>1854.38</v>
      </c>
      <c r="F54" s="144">
        <v>203441</v>
      </c>
      <c r="G54" s="145">
        <v>377256922</v>
      </c>
      <c r="H54" s="131">
        <v>203437</v>
      </c>
      <c r="I54" s="31">
        <f t="shared" si="18"/>
        <v>377249504</v>
      </c>
      <c r="J54" s="22">
        <v>0</v>
      </c>
      <c r="K54" s="369">
        <v>-38.200000000000003</v>
      </c>
      <c r="L54" s="24">
        <f t="shared" si="19"/>
        <v>-7771293</v>
      </c>
      <c r="M54" s="22">
        <v>0</v>
      </c>
      <c r="N54" s="23">
        <v>0</v>
      </c>
      <c r="O54" s="19">
        <f t="shared" si="11"/>
        <v>0</v>
      </c>
      <c r="P54" s="17">
        <v>0</v>
      </c>
      <c r="Q54" s="358">
        <v>0</v>
      </c>
      <c r="R54" s="19">
        <f t="shared" si="6"/>
        <v>0</v>
      </c>
      <c r="S54" s="259">
        <f t="shared" si="7"/>
        <v>1816.18</v>
      </c>
      <c r="T54" s="20">
        <f t="shared" si="20"/>
        <v>369478211</v>
      </c>
      <c r="U54" s="20">
        <v>377077193.10000002</v>
      </c>
      <c r="V54" s="403"/>
    </row>
    <row r="55" spans="1:22" ht="15" customHeight="1" x14ac:dyDescent="0.3">
      <c r="A55" s="14" t="s">
        <v>128</v>
      </c>
      <c r="B55" s="481"/>
      <c r="C55" s="25" t="s">
        <v>129</v>
      </c>
      <c r="D55" s="102" t="s">
        <v>25</v>
      </c>
      <c r="E55" s="122">
        <v>322.83999999999997</v>
      </c>
      <c r="F55" s="144">
        <v>139520</v>
      </c>
      <c r="G55" s="145">
        <v>45042637</v>
      </c>
      <c r="H55" s="131">
        <v>139516</v>
      </c>
      <c r="I55" s="31">
        <f t="shared" si="18"/>
        <v>45041345</v>
      </c>
      <c r="J55" s="22">
        <v>0</v>
      </c>
      <c r="K55" s="23">
        <v>0</v>
      </c>
      <c r="L55" s="24">
        <f t="shared" si="19"/>
        <v>0</v>
      </c>
      <c r="M55" s="22">
        <v>0</v>
      </c>
      <c r="N55" s="23">
        <v>0</v>
      </c>
      <c r="O55" s="19">
        <f t="shared" si="11"/>
        <v>0</v>
      </c>
      <c r="P55" s="17">
        <v>0</v>
      </c>
      <c r="Q55" s="358">
        <v>0</v>
      </c>
      <c r="R55" s="19">
        <f t="shared" si="6"/>
        <v>0</v>
      </c>
      <c r="S55" s="259">
        <f t="shared" si="7"/>
        <v>322.83999999999997</v>
      </c>
      <c r="T55" s="20">
        <f t="shared" si="20"/>
        <v>45041345</v>
      </c>
      <c r="U55" s="20">
        <v>45041346</v>
      </c>
      <c r="V55" s="403"/>
    </row>
    <row r="56" spans="1:22" ht="27.6" x14ac:dyDescent="0.3">
      <c r="A56" s="28" t="s">
        <v>130</v>
      </c>
      <c r="B56" s="6">
        <v>500.1</v>
      </c>
      <c r="C56" s="29" t="s">
        <v>131</v>
      </c>
      <c r="D56" s="6" t="s">
        <v>25</v>
      </c>
      <c r="E56" s="35"/>
      <c r="F56" s="139"/>
      <c r="G56" s="138">
        <v>10332863799</v>
      </c>
      <c r="H56" s="36"/>
      <c r="I56" s="11">
        <f>SUM(I57:I65)</f>
        <v>10332806578</v>
      </c>
      <c r="J56" s="476"/>
      <c r="K56" s="477"/>
      <c r="L56" s="11">
        <f>SUM(L57:L65)</f>
        <v>-109524273</v>
      </c>
      <c r="M56" s="476"/>
      <c r="N56" s="477"/>
      <c r="O56" s="11">
        <f>SUM(O57:O65)</f>
        <v>-136023246</v>
      </c>
      <c r="P56" s="348"/>
      <c r="Q56" s="348"/>
      <c r="R56" s="11">
        <f>SUM(R57:R65)</f>
        <v>0</v>
      </c>
      <c r="S56" s="27"/>
      <c r="T56" s="13">
        <f>SUM(T57:T65)</f>
        <v>10087259060</v>
      </c>
      <c r="U56" s="13">
        <v>7810349839.7343006</v>
      </c>
      <c r="V56" s="404"/>
    </row>
    <row r="57" spans="1:22" ht="27.6" x14ac:dyDescent="0.3">
      <c r="A57" s="14" t="s">
        <v>132</v>
      </c>
      <c r="B57" s="481">
        <v>500.1</v>
      </c>
      <c r="C57" s="25" t="s">
        <v>133</v>
      </c>
      <c r="D57" s="102" t="s">
        <v>25</v>
      </c>
      <c r="E57" s="120">
        <v>1639.44</v>
      </c>
      <c r="F57" s="140">
        <v>668596</v>
      </c>
      <c r="G57" s="141">
        <v>1096123026</v>
      </c>
      <c r="H57" s="131">
        <v>668592</v>
      </c>
      <c r="I57" s="31">
        <f t="shared" ref="I57:I65" si="21">ROUND(E57*H57,0)</f>
        <v>1096116468</v>
      </c>
      <c r="J57" s="370">
        <v>56.9</v>
      </c>
      <c r="K57" s="23">
        <v>0</v>
      </c>
      <c r="L57" s="345">
        <f t="shared" ref="L57:L65" si="22">ROUND(+J57*H57+K57*H57,0)</f>
        <v>38042885</v>
      </c>
      <c r="M57" s="23">
        <v>0</v>
      </c>
      <c r="N57" s="369">
        <v>-30</v>
      </c>
      <c r="O57" s="346">
        <f t="shared" si="11"/>
        <v>-20057760</v>
      </c>
      <c r="P57" s="379">
        <v>0</v>
      </c>
      <c r="Q57" s="358">
        <v>0</v>
      </c>
      <c r="R57" s="19">
        <f t="shared" si="6"/>
        <v>0</v>
      </c>
      <c r="S57" s="259">
        <f t="shared" si="7"/>
        <v>1666.3400000000001</v>
      </c>
      <c r="T57" s="20">
        <f t="shared" ref="T57:T65" si="23">ROUND(H57*S57,0)</f>
        <v>1114101593</v>
      </c>
      <c r="U57" s="20">
        <v>726833049.12930083</v>
      </c>
      <c r="V57" s="403"/>
    </row>
    <row r="58" spans="1:22" ht="27.6" x14ac:dyDescent="0.3">
      <c r="A58" s="14" t="s">
        <v>134</v>
      </c>
      <c r="B58" s="481"/>
      <c r="C58" s="25" t="s">
        <v>135</v>
      </c>
      <c r="D58" s="102" t="s">
        <v>25</v>
      </c>
      <c r="E58" s="121">
        <v>1607.4</v>
      </c>
      <c r="F58" s="142">
        <v>760417</v>
      </c>
      <c r="G58" s="143">
        <v>1222294286</v>
      </c>
      <c r="H58" s="131">
        <v>760413</v>
      </c>
      <c r="I58" s="31">
        <f t="shared" si="21"/>
        <v>1222287856</v>
      </c>
      <c r="J58" s="370">
        <v>57</v>
      </c>
      <c r="K58" s="23">
        <v>0</v>
      </c>
      <c r="L58" s="345">
        <f t="shared" si="22"/>
        <v>43343541</v>
      </c>
      <c r="M58" s="23">
        <v>0</v>
      </c>
      <c r="N58" s="23">
        <v>0</v>
      </c>
      <c r="O58" s="346">
        <f t="shared" si="11"/>
        <v>0</v>
      </c>
      <c r="P58" s="17">
        <v>0</v>
      </c>
      <c r="Q58" s="358">
        <v>0</v>
      </c>
      <c r="R58" s="19">
        <f t="shared" si="6"/>
        <v>0</v>
      </c>
      <c r="S58" s="259">
        <f t="shared" si="7"/>
        <v>1664.4</v>
      </c>
      <c r="T58" s="20">
        <f t="shared" si="23"/>
        <v>1265631397</v>
      </c>
      <c r="U58" s="20">
        <v>242031853.76999998</v>
      </c>
      <c r="V58" s="403"/>
    </row>
    <row r="59" spans="1:22" ht="40.200000000000003" customHeight="1" x14ac:dyDescent="0.3">
      <c r="A59" s="14" t="s">
        <v>136</v>
      </c>
      <c r="B59" s="481"/>
      <c r="C59" s="25" t="s">
        <v>137</v>
      </c>
      <c r="D59" s="102" t="s">
        <v>25</v>
      </c>
      <c r="E59" s="121">
        <v>1613.02</v>
      </c>
      <c r="F59" s="142">
        <v>661097</v>
      </c>
      <c r="G59" s="143">
        <v>1066362683</v>
      </c>
      <c r="H59" s="131">
        <v>661093</v>
      </c>
      <c r="I59" s="31">
        <f t="shared" si="21"/>
        <v>1066356231</v>
      </c>
      <c r="J59" s="370">
        <v>57.24</v>
      </c>
      <c r="K59" s="23">
        <v>0</v>
      </c>
      <c r="L59" s="345">
        <f t="shared" si="22"/>
        <v>37840963</v>
      </c>
      <c r="M59" s="23">
        <v>0</v>
      </c>
      <c r="N59" s="369">
        <f>-(95*4.7*0.18)-((95*0.1*0.15)*2)</f>
        <v>-83.219999999999985</v>
      </c>
      <c r="O59" s="346">
        <f t="shared" si="11"/>
        <v>-55016159</v>
      </c>
      <c r="P59" s="17">
        <v>0</v>
      </c>
      <c r="Q59" s="380">
        <v>0</v>
      </c>
      <c r="R59" s="19">
        <f t="shared" si="6"/>
        <v>0</v>
      </c>
      <c r="S59" s="259">
        <f t="shared" si="7"/>
        <v>1587.04</v>
      </c>
      <c r="T59" s="20">
        <f t="shared" si="23"/>
        <v>1049181035</v>
      </c>
      <c r="U59" s="20">
        <v>680020092.7700001</v>
      </c>
      <c r="V59" s="403"/>
    </row>
    <row r="60" spans="1:22" ht="39.6" customHeight="1" x14ac:dyDescent="0.3">
      <c r="A60" s="14" t="s">
        <v>138</v>
      </c>
      <c r="B60" s="481"/>
      <c r="C60" s="25" t="s">
        <v>139</v>
      </c>
      <c r="D60" s="102" t="s">
        <v>25</v>
      </c>
      <c r="E60" s="121">
        <v>1659.31</v>
      </c>
      <c r="F60" s="142">
        <v>654237</v>
      </c>
      <c r="G60" s="143">
        <v>1085581996</v>
      </c>
      <c r="H60" s="131">
        <v>654233</v>
      </c>
      <c r="I60" s="31">
        <f t="shared" si="21"/>
        <v>1085575359</v>
      </c>
      <c r="J60" s="370">
        <v>58.81</v>
      </c>
      <c r="K60" s="23">
        <v>0</v>
      </c>
      <c r="L60" s="345">
        <f t="shared" si="22"/>
        <v>38475443</v>
      </c>
      <c r="M60" s="23">
        <v>0</v>
      </c>
      <c r="N60" s="369">
        <f>-((18*4.7*0.18)+((18*0.1*0.15)*2))</f>
        <v>-15.768000000000001</v>
      </c>
      <c r="O60" s="346">
        <f t="shared" si="11"/>
        <v>-10315946</v>
      </c>
      <c r="P60" s="17">
        <v>0</v>
      </c>
      <c r="Q60" s="358">
        <v>0</v>
      </c>
      <c r="R60" s="19">
        <f t="shared" si="6"/>
        <v>0</v>
      </c>
      <c r="S60" s="259">
        <f t="shared" si="7"/>
        <v>1702.3519999999999</v>
      </c>
      <c r="T60" s="20">
        <f t="shared" si="23"/>
        <v>1113734856</v>
      </c>
      <c r="U60" s="20">
        <v>525892112.74000001</v>
      </c>
      <c r="V60" s="403"/>
    </row>
    <row r="61" spans="1:22" ht="27.6" x14ac:dyDescent="0.3">
      <c r="A61" s="14" t="s">
        <v>140</v>
      </c>
      <c r="B61" s="481"/>
      <c r="C61" s="25" t="s">
        <v>141</v>
      </c>
      <c r="D61" s="102" t="s">
        <v>25</v>
      </c>
      <c r="E61" s="124">
        <v>1640.21</v>
      </c>
      <c r="F61" s="148">
        <v>685423</v>
      </c>
      <c r="G61" s="149">
        <v>1124237659</v>
      </c>
      <c r="H61" s="131">
        <v>685419</v>
      </c>
      <c r="I61" s="31">
        <f t="shared" si="21"/>
        <v>1124231098</v>
      </c>
      <c r="J61" s="364">
        <v>0</v>
      </c>
      <c r="K61" s="369">
        <f>-'[7]DEVOLUCION CHADO '!$I$17</f>
        <v>-634.03099999999995</v>
      </c>
      <c r="L61" s="345">
        <f t="shared" si="22"/>
        <v>-434576894</v>
      </c>
      <c r="M61" s="364">
        <v>0</v>
      </c>
      <c r="N61" s="23">
        <v>0</v>
      </c>
      <c r="O61" s="346">
        <f t="shared" si="11"/>
        <v>0</v>
      </c>
      <c r="P61" s="17">
        <v>0</v>
      </c>
      <c r="Q61" s="358">
        <v>0</v>
      </c>
      <c r="R61" s="19">
        <f t="shared" si="6"/>
        <v>0</v>
      </c>
      <c r="S61" s="259">
        <f t="shared" si="7"/>
        <v>1006.1790000000001</v>
      </c>
      <c r="T61" s="20">
        <f t="shared" si="23"/>
        <v>689654204</v>
      </c>
      <c r="U61" s="20">
        <v>720767338.89100003</v>
      </c>
      <c r="V61" s="403"/>
    </row>
    <row r="62" spans="1:22" ht="40.200000000000003" customHeight="1" x14ac:dyDescent="0.3">
      <c r="A62" s="14" t="s">
        <v>142</v>
      </c>
      <c r="B62" s="481"/>
      <c r="C62" s="25" t="s">
        <v>143</v>
      </c>
      <c r="D62" s="102" t="s">
        <v>25</v>
      </c>
      <c r="E62" s="124">
        <v>1636.02</v>
      </c>
      <c r="F62" s="148">
        <v>693526</v>
      </c>
      <c r="G62" s="149">
        <v>1134622407</v>
      </c>
      <c r="H62" s="131">
        <v>693522</v>
      </c>
      <c r="I62" s="31">
        <f t="shared" si="21"/>
        <v>1134615862</v>
      </c>
      <c r="J62" s="370">
        <v>64.709999999999994</v>
      </c>
      <c r="K62" s="23">
        <v>0</v>
      </c>
      <c r="L62" s="345">
        <f t="shared" si="22"/>
        <v>44877809</v>
      </c>
      <c r="M62" s="364">
        <v>0</v>
      </c>
      <c r="N62" s="369">
        <v>-5.66</v>
      </c>
      <c r="O62" s="346">
        <f t="shared" si="11"/>
        <v>-3925335</v>
      </c>
      <c r="P62" s="17">
        <v>0</v>
      </c>
      <c r="Q62" s="358">
        <v>0</v>
      </c>
      <c r="R62" s="19">
        <f t="shared" si="6"/>
        <v>0</v>
      </c>
      <c r="S62" s="259">
        <f t="shared" si="7"/>
        <v>1695.07</v>
      </c>
      <c r="T62" s="20">
        <f t="shared" si="23"/>
        <v>1175568337</v>
      </c>
      <c r="U62" s="20">
        <v>964758662.73400009</v>
      </c>
      <c r="V62" s="403"/>
    </row>
    <row r="63" spans="1:22" ht="41.4" x14ac:dyDescent="0.3">
      <c r="A63" s="14" t="s">
        <v>144</v>
      </c>
      <c r="B63" s="481"/>
      <c r="C63" s="25" t="s">
        <v>145</v>
      </c>
      <c r="D63" s="102" t="s">
        <v>25</v>
      </c>
      <c r="E63" s="124">
        <v>1612.47</v>
      </c>
      <c r="F63" s="148">
        <v>676827</v>
      </c>
      <c r="G63" s="149">
        <v>1091363233</v>
      </c>
      <c r="H63" s="131">
        <v>676823</v>
      </c>
      <c r="I63" s="31">
        <f t="shared" si="21"/>
        <v>1091356783</v>
      </c>
      <c r="J63" s="370">
        <v>57.18</v>
      </c>
      <c r="K63" s="23">
        <v>0</v>
      </c>
      <c r="L63" s="345">
        <f t="shared" si="22"/>
        <v>38700739</v>
      </c>
      <c r="M63" s="364">
        <v>0</v>
      </c>
      <c r="N63" s="23">
        <v>0</v>
      </c>
      <c r="O63" s="346">
        <f t="shared" si="11"/>
        <v>0</v>
      </c>
      <c r="P63" s="17">
        <v>0</v>
      </c>
      <c r="Q63" s="358">
        <v>0</v>
      </c>
      <c r="R63" s="19">
        <f t="shared" si="6"/>
        <v>0</v>
      </c>
      <c r="S63" s="259">
        <f t="shared" si="7"/>
        <v>1669.65</v>
      </c>
      <c r="T63" s="20">
        <f t="shared" si="23"/>
        <v>1130057522</v>
      </c>
      <c r="U63" s="20">
        <v>982881007.22000003</v>
      </c>
      <c r="V63" s="403"/>
    </row>
    <row r="64" spans="1:22" ht="41.4" x14ac:dyDescent="0.3">
      <c r="A64" s="14" t="s">
        <v>146</v>
      </c>
      <c r="B64" s="481"/>
      <c r="C64" s="25" t="s">
        <v>147</v>
      </c>
      <c r="D64" s="102" t="s">
        <v>25</v>
      </c>
      <c r="E64" s="122">
        <v>1624.88</v>
      </c>
      <c r="F64" s="144">
        <v>802120</v>
      </c>
      <c r="G64" s="145">
        <v>1303348746</v>
      </c>
      <c r="H64" s="131">
        <v>802117</v>
      </c>
      <c r="I64" s="31">
        <f t="shared" si="21"/>
        <v>1303343871</v>
      </c>
      <c r="J64" s="370">
        <v>56.4</v>
      </c>
      <c r="K64" s="23">
        <v>0</v>
      </c>
      <c r="L64" s="345">
        <f t="shared" si="22"/>
        <v>45239399</v>
      </c>
      <c r="M64" s="370">
        <v>5.0199999999999996</v>
      </c>
      <c r="N64" s="23">
        <v>0</v>
      </c>
      <c r="O64" s="346">
        <f t="shared" si="11"/>
        <v>4026627</v>
      </c>
      <c r="P64" s="17">
        <v>0</v>
      </c>
      <c r="Q64" s="358">
        <v>0</v>
      </c>
      <c r="R64" s="19">
        <f t="shared" si="6"/>
        <v>0</v>
      </c>
      <c r="S64" s="259">
        <f t="shared" si="7"/>
        <v>1686.3000000000002</v>
      </c>
      <c r="T64" s="20">
        <f t="shared" si="23"/>
        <v>1352609897</v>
      </c>
      <c r="U64" s="20">
        <v>1774238322.4300003</v>
      </c>
      <c r="V64" s="403"/>
    </row>
    <row r="65" spans="1:22" ht="27.6" x14ac:dyDescent="0.3">
      <c r="A65" s="14" t="s">
        <v>148</v>
      </c>
      <c r="B65" s="481"/>
      <c r="C65" s="15" t="s">
        <v>149</v>
      </c>
      <c r="D65" s="102" t="s">
        <v>25</v>
      </c>
      <c r="E65" s="122">
        <v>1678.23</v>
      </c>
      <c r="F65" s="144">
        <v>720360</v>
      </c>
      <c r="G65" s="145">
        <v>1208929763</v>
      </c>
      <c r="H65" s="131">
        <v>720356</v>
      </c>
      <c r="I65" s="31">
        <f t="shared" si="21"/>
        <v>1208923050</v>
      </c>
      <c r="J65" s="370">
        <v>53.49</v>
      </c>
      <c r="K65" s="23">
        <v>0</v>
      </c>
      <c r="L65" s="345">
        <f t="shared" si="22"/>
        <v>38531842</v>
      </c>
      <c r="M65" s="364">
        <v>0</v>
      </c>
      <c r="N65" s="369">
        <v>-70.430000000000007</v>
      </c>
      <c r="O65" s="346">
        <f t="shared" si="11"/>
        <v>-50734673</v>
      </c>
      <c r="P65" s="17">
        <v>0</v>
      </c>
      <c r="Q65" s="358">
        <v>0</v>
      </c>
      <c r="R65" s="19">
        <f t="shared" si="6"/>
        <v>0</v>
      </c>
      <c r="S65" s="259">
        <f t="shared" si="7"/>
        <v>1661.29</v>
      </c>
      <c r="T65" s="20">
        <f t="shared" si="23"/>
        <v>1196720219</v>
      </c>
      <c r="U65" s="20">
        <v>1192927400.05</v>
      </c>
      <c r="V65" s="403"/>
    </row>
    <row r="66" spans="1:22" ht="14.4" x14ac:dyDescent="0.3">
      <c r="A66" s="28" t="s">
        <v>150</v>
      </c>
      <c r="B66" s="6">
        <v>672.3</v>
      </c>
      <c r="C66" s="29" t="s">
        <v>151</v>
      </c>
      <c r="D66" s="6" t="s">
        <v>152</v>
      </c>
      <c r="E66" s="35"/>
      <c r="F66" s="139"/>
      <c r="G66" s="138">
        <v>2201940295</v>
      </c>
      <c r="H66" s="36"/>
      <c r="I66" s="11">
        <f>SUM(I67:I75)</f>
        <v>2201800320</v>
      </c>
      <c r="J66" s="476"/>
      <c r="K66" s="477"/>
      <c r="L66" s="11">
        <f>SUM(L67:L75)</f>
        <v>-105464013</v>
      </c>
      <c r="M66" s="476"/>
      <c r="N66" s="477"/>
      <c r="O66" s="11">
        <f>SUM(O67:O75)</f>
        <v>-2096336307</v>
      </c>
      <c r="P66" s="348"/>
      <c r="Q66" s="348"/>
      <c r="R66" s="11">
        <f>SUM(R67:R75)</f>
        <v>0</v>
      </c>
      <c r="S66" s="27"/>
      <c r="T66" s="13">
        <f>SUM(T67:T75)</f>
        <v>0</v>
      </c>
      <c r="U66" s="13">
        <v>1425519029.74</v>
      </c>
      <c r="V66" s="404"/>
    </row>
    <row r="67" spans="1:22" ht="14.4" x14ac:dyDescent="0.3">
      <c r="A67" s="14" t="s">
        <v>153</v>
      </c>
      <c r="B67" s="484">
        <v>672.3</v>
      </c>
      <c r="C67" s="21" t="s">
        <v>154</v>
      </c>
      <c r="D67" s="102" t="s">
        <v>152</v>
      </c>
      <c r="E67" s="125">
        <v>3886.15</v>
      </c>
      <c r="F67" s="150">
        <v>57443</v>
      </c>
      <c r="G67" s="151">
        <v>223232287</v>
      </c>
      <c r="H67" s="131">
        <v>57439</v>
      </c>
      <c r="I67" s="31">
        <f t="shared" ref="I67:I75" si="24">ROUND(E67*H67,0)</f>
        <v>223216570</v>
      </c>
      <c r="J67" s="22">
        <v>0</v>
      </c>
      <c r="K67" s="23">
        <v>0</v>
      </c>
      <c r="L67" s="24">
        <f t="shared" ref="L67:L75" si="25">ROUND(+J67*H67+K67*H67,0)</f>
        <v>0</v>
      </c>
      <c r="M67" s="22">
        <v>0</v>
      </c>
      <c r="N67" s="369">
        <v>-3886.15</v>
      </c>
      <c r="O67" s="346">
        <f t="shared" si="11"/>
        <v>-223216570</v>
      </c>
      <c r="P67" s="17">
        <v>0</v>
      </c>
      <c r="Q67" s="358">
        <v>0</v>
      </c>
      <c r="R67" s="19">
        <f t="shared" si="6"/>
        <v>0</v>
      </c>
      <c r="S67" s="259">
        <f t="shared" si="7"/>
        <v>0</v>
      </c>
      <c r="T67" s="20">
        <f t="shared" ref="T67:T75" si="26">ROUND(H67*S67,0)</f>
        <v>0</v>
      </c>
      <c r="U67" s="20">
        <v>119817754</v>
      </c>
      <c r="V67" s="403"/>
    </row>
    <row r="68" spans="1:22" ht="14.4" x14ac:dyDescent="0.3">
      <c r="A68" s="14" t="s">
        <v>155</v>
      </c>
      <c r="B68" s="485"/>
      <c r="C68" s="25" t="s">
        <v>156</v>
      </c>
      <c r="D68" s="102" t="s">
        <v>152</v>
      </c>
      <c r="E68" s="125">
        <v>3796.33</v>
      </c>
      <c r="F68" s="150">
        <v>67284</v>
      </c>
      <c r="G68" s="151">
        <v>255432537</v>
      </c>
      <c r="H68" s="131">
        <v>67280</v>
      </c>
      <c r="I68" s="31">
        <f t="shared" si="24"/>
        <v>255417082</v>
      </c>
      <c r="J68" s="22">
        <v>0</v>
      </c>
      <c r="K68" s="23">
        <v>0</v>
      </c>
      <c r="L68" s="24">
        <f t="shared" si="25"/>
        <v>0</v>
      </c>
      <c r="M68" s="22">
        <v>0</v>
      </c>
      <c r="N68" s="369">
        <v>-3796.33</v>
      </c>
      <c r="O68" s="346">
        <f t="shared" si="11"/>
        <v>-255417082</v>
      </c>
      <c r="P68" s="17">
        <v>0</v>
      </c>
      <c r="Q68" s="358">
        <v>0</v>
      </c>
      <c r="R68" s="19">
        <f t="shared" si="6"/>
        <v>0</v>
      </c>
      <c r="S68" s="259">
        <f t="shared" si="7"/>
        <v>0</v>
      </c>
      <c r="T68" s="20">
        <f t="shared" si="26"/>
        <v>0</v>
      </c>
      <c r="U68" s="20">
        <v>33438160</v>
      </c>
      <c r="V68" s="403"/>
    </row>
    <row r="69" spans="1:22" ht="14.4" x14ac:dyDescent="0.3">
      <c r="A69" s="14" t="s">
        <v>157</v>
      </c>
      <c r="B69" s="485"/>
      <c r="C69" s="25" t="s">
        <v>158</v>
      </c>
      <c r="D69" s="102" t="s">
        <v>152</v>
      </c>
      <c r="E69" s="125">
        <v>3812.94</v>
      </c>
      <c r="F69" s="150">
        <v>59491</v>
      </c>
      <c r="G69" s="151">
        <v>226835673</v>
      </c>
      <c r="H69" s="131">
        <v>59487</v>
      </c>
      <c r="I69" s="31">
        <f t="shared" si="24"/>
        <v>226820362</v>
      </c>
      <c r="J69" s="22">
        <v>0</v>
      </c>
      <c r="K69" s="23">
        <v>0</v>
      </c>
      <c r="L69" s="24">
        <f t="shared" si="25"/>
        <v>0</v>
      </c>
      <c r="M69" s="22">
        <v>0</v>
      </c>
      <c r="N69" s="369">
        <v>-3812.94</v>
      </c>
      <c r="O69" s="346">
        <f t="shared" si="11"/>
        <v>-226820362</v>
      </c>
      <c r="P69" s="17">
        <v>0</v>
      </c>
      <c r="Q69" s="358">
        <v>0</v>
      </c>
      <c r="R69" s="19">
        <f t="shared" si="6"/>
        <v>0</v>
      </c>
      <c r="S69" s="259">
        <f t="shared" si="7"/>
        <v>0</v>
      </c>
      <c r="T69" s="20">
        <f t="shared" si="26"/>
        <v>0</v>
      </c>
      <c r="U69" s="20">
        <v>128729868</v>
      </c>
      <c r="V69" s="403"/>
    </row>
    <row r="70" spans="1:22" ht="14.4" x14ac:dyDescent="0.3">
      <c r="A70" s="14" t="s">
        <v>159</v>
      </c>
      <c r="B70" s="485"/>
      <c r="C70" s="25" t="s">
        <v>160</v>
      </c>
      <c r="D70" s="102" t="s">
        <v>152</v>
      </c>
      <c r="E70" s="125">
        <v>3960.28</v>
      </c>
      <c r="F70" s="150">
        <v>59476</v>
      </c>
      <c r="G70" s="151">
        <v>235541851</v>
      </c>
      <c r="H70" s="131">
        <v>59472</v>
      </c>
      <c r="I70" s="31">
        <f t="shared" si="24"/>
        <v>235525772</v>
      </c>
      <c r="J70" s="22">
        <v>0</v>
      </c>
      <c r="K70" s="23">
        <v>0</v>
      </c>
      <c r="L70" s="24">
        <f t="shared" si="25"/>
        <v>0</v>
      </c>
      <c r="M70" s="22">
        <v>0</v>
      </c>
      <c r="N70" s="369">
        <v>-3960.28</v>
      </c>
      <c r="O70" s="346">
        <f t="shared" si="11"/>
        <v>-235525772</v>
      </c>
      <c r="P70" s="17">
        <v>0</v>
      </c>
      <c r="Q70" s="358">
        <v>0</v>
      </c>
      <c r="R70" s="19">
        <f t="shared" si="6"/>
        <v>0</v>
      </c>
      <c r="S70" s="259">
        <f t="shared" si="7"/>
        <v>0</v>
      </c>
      <c r="T70" s="20">
        <f t="shared" si="26"/>
        <v>0</v>
      </c>
      <c r="U70" s="20">
        <v>74221056</v>
      </c>
      <c r="V70" s="403"/>
    </row>
    <row r="71" spans="1:22" ht="14.4" x14ac:dyDescent="0.3">
      <c r="A71" s="14" t="s">
        <v>161</v>
      </c>
      <c r="B71" s="485"/>
      <c r="C71" s="25" t="s">
        <v>162</v>
      </c>
      <c r="D71" s="102" t="s">
        <v>152</v>
      </c>
      <c r="E71" s="122">
        <v>3879.94</v>
      </c>
      <c r="F71" s="144">
        <v>67076</v>
      </c>
      <c r="G71" s="145">
        <v>260251124</v>
      </c>
      <c r="H71" s="131">
        <v>67072</v>
      </c>
      <c r="I71" s="31">
        <f t="shared" si="24"/>
        <v>260235336</v>
      </c>
      <c r="J71" s="22">
        <v>0</v>
      </c>
      <c r="K71" s="369">
        <f>-'[7]DEVOLUCION CHADO '!$I$19</f>
        <v>-1572.4</v>
      </c>
      <c r="L71" s="24">
        <f t="shared" si="25"/>
        <v>-105464013</v>
      </c>
      <c r="M71" s="22">
        <v>0</v>
      </c>
      <c r="N71" s="369">
        <v>-2307.54</v>
      </c>
      <c r="O71" s="346">
        <f t="shared" si="11"/>
        <v>-154771323</v>
      </c>
      <c r="P71" s="17">
        <v>0</v>
      </c>
      <c r="Q71" s="358">
        <v>0</v>
      </c>
      <c r="R71" s="19">
        <f t="shared" si="6"/>
        <v>0</v>
      </c>
      <c r="S71" s="259">
        <f t="shared" si="7"/>
        <v>0</v>
      </c>
      <c r="T71" s="20">
        <f t="shared" si="26"/>
        <v>0</v>
      </c>
      <c r="U71" s="20">
        <v>154775347</v>
      </c>
      <c r="V71" s="403"/>
    </row>
    <row r="72" spans="1:22" ht="14.4" x14ac:dyDescent="0.3">
      <c r="A72" s="14" t="s">
        <v>163</v>
      </c>
      <c r="B72" s="485"/>
      <c r="C72" s="25" t="s">
        <v>164</v>
      </c>
      <c r="D72" s="102" t="s">
        <v>152</v>
      </c>
      <c r="E72" s="122">
        <v>3877.87</v>
      </c>
      <c r="F72" s="144">
        <v>65372</v>
      </c>
      <c r="G72" s="145">
        <v>253504052</v>
      </c>
      <c r="H72" s="131">
        <v>65368</v>
      </c>
      <c r="I72" s="31">
        <f t="shared" si="24"/>
        <v>253488606</v>
      </c>
      <c r="J72" s="22">
        <v>0</v>
      </c>
      <c r="K72" s="23">
        <v>0</v>
      </c>
      <c r="L72" s="24">
        <f t="shared" si="25"/>
        <v>0</v>
      </c>
      <c r="M72" s="22">
        <v>0</v>
      </c>
      <c r="N72" s="369">
        <v>-3877.87</v>
      </c>
      <c r="O72" s="346">
        <f t="shared" si="11"/>
        <v>-253488606</v>
      </c>
      <c r="P72" s="17">
        <v>0</v>
      </c>
      <c r="Q72" s="358">
        <v>0</v>
      </c>
      <c r="R72" s="19">
        <f t="shared" ref="R72:R95" si="27">ROUND(+P72*H72+Q72*H72,0)</f>
        <v>0</v>
      </c>
      <c r="S72" s="259">
        <f t="shared" ref="S72:S85" si="28">+E72+J72+K72+M72+N72+P72+Q72</f>
        <v>0</v>
      </c>
      <c r="T72" s="20">
        <f t="shared" si="26"/>
        <v>0</v>
      </c>
      <c r="U72" s="20">
        <v>215454180.40000001</v>
      </c>
      <c r="V72" s="403"/>
    </row>
    <row r="73" spans="1:22" ht="14.4" x14ac:dyDescent="0.3">
      <c r="A73" s="14" t="s">
        <v>165</v>
      </c>
      <c r="B73" s="485"/>
      <c r="C73" s="25" t="s">
        <v>166</v>
      </c>
      <c r="D73" s="102" t="s">
        <v>152</v>
      </c>
      <c r="E73" s="122">
        <v>3809.33</v>
      </c>
      <c r="F73" s="144">
        <v>65033</v>
      </c>
      <c r="G73" s="145">
        <v>247732028</v>
      </c>
      <c r="H73" s="131">
        <v>65029</v>
      </c>
      <c r="I73" s="31">
        <f t="shared" si="24"/>
        <v>247716921</v>
      </c>
      <c r="J73" s="22">
        <v>0</v>
      </c>
      <c r="K73" s="23">
        <v>0</v>
      </c>
      <c r="L73" s="24">
        <f t="shared" si="25"/>
        <v>0</v>
      </c>
      <c r="M73" s="22">
        <v>0</v>
      </c>
      <c r="N73" s="369">
        <v>-3809.33</v>
      </c>
      <c r="O73" s="346">
        <f t="shared" si="11"/>
        <v>-247716921</v>
      </c>
      <c r="P73" s="17">
        <v>0</v>
      </c>
      <c r="Q73" s="358">
        <v>0</v>
      </c>
      <c r="R73" s="19">
        <f t="shared" si="27"/>
        <v>0</v>
      </c>
      <c r="S73" s="259">
        <f t="shared" si="28"/>
        <v>0</v>
      </c>
      <c r="T73" s="20">
        <f t="shared" si="26"/>
        <v>0</v>
      </c>
      <c r="U73" s="20">
        <v>208445942.34</v>
      </c>
      <c r="V73" s="403"/>
    </row>
    <row r="74" spans="1:22" ht="14.4" x14ac:dyDescent="0.3">
      <c r="A74" s="14" t="s">
        <v>167</v>
      </c>
      <c r="B74" s="485"/>
      <c r="C74" s="25" t="s">
        <v>168</v>
      </c>
      <c r="D74" s="102" t="s">
        <v>152</v>
      </c>
      <c r="E74" s="122">
        <v>3845.29</v>
      </c>
      <c r="F74" s="144">
        <v>66669</v>
      </c>
      <c r="G74" s="145">
        <v>256361639</v>
      </c>
      <c r="H74" s="131">
        <v>66665</v>
      </c>
      <c r="I74" s="31">
        <f t="shared" si="24"/>
        <v>256346258</v>
      </c>
      <c r="J74" s="22">
        <v>0</v>
      </c>
      <c r="K74" s="23">
        <v>0</v>
      </c>
      <c r="L74" s="24">
        <f t="shared" si="25"/>
        <v>0</v>
      </c>
      <c r="M74" s="22"/>
      <c r="N74" s="369">
        <v>-3845.29</v>
      </c>
      <c r="O74" s="346">
        <f t="shared" si="11"/>
        <v>-256346258</v>
      </c>
      <c r="P74" s="17">
        <v>0</v>
      </c>
      <c r="Q74" s="358">
        <v>0</v>
      </c>
      <c r="R74" s="19">
        <f t="shared" si="27"/>
        <v>0</v>
      </c>
      <c r="S74" s="259">
        <f t="shared" si="28"/>
        <v>0</v>
      </c>
      <c r="T74" s="20">
        <f t="shared" si="26"/>
        <v>0</v>
      </c>
      <c r="U74" s="20">
        <v>256346258</v>
      </c>
      <c r="V74" s="403"/>
    </row>
    <row r="75" spans="1:22" ht="14.4" x14ac:dyDescent="0.3">
      <c r="A75" s="14" t="s">
        <v>169</v>
      </c>
      <c r="B75" s="486"/>
      <c r="C75" s="25" t="s">
        <v>170</v>
      </c>
      <c r="D75" s="102" t="s">
        <v>152</v>
      </c>
      <c r="E75" s="122">
        <v>3968.67</v>
      </c>
      <c r="F75" s="144">
        <v>61242</v>
      </c>
      <c r="G75" s="145">
        <v>243049104</v>
      </c>
      <c r="H75" s="131">
        <v>61238</v>
      </c>
      <c r="I75" s="31">
        <f t="shared" si="24"/>
        <v>243033413</v>
      </c>
      <c r="J75" s="22">
        <v>0</v>
      </c>
      <c r="K75" s="23">
        <v>0</v>
      </c>
      <c r="L75" s="24">
        <f t="shared" si="25"/>
        <v>0</v>
      </c>
      <c r="M75" s="22">
        <v>0</v>
      </c>
      <c r="N75" s="369">
        <v>-3968.67</v>
      </c>
      <c r="O75" s="346">
        <f t="shared" si="11"/>
        <v>-243033413</v>
      </c>
      <c r="P75" s="17">
        <v>0</v>
      </c>
      <c r="Q75" s="358">
        <v>0</v>
      </c>
      <c r="R75" s="19">
        <f t="shared" si="27"/>
        <v>0</v>
      </c>
      <c r="S75" s="259">
        <f t="shared" si="28"/>
        <v>0</v>
      </c>
      <c r="T75" s="20">
        <f t="shared" si="26"/>
        <v>0</v>
      </c>
      <c r="U75" s="20">
        <v>234290464</v>
      </c>
      <c r="V75" s="403"/>
    </row>
    <row r="76" spans="1:22" ht="14.4" x14ac:dyDescent="0.3">
      <c r="A76" s="28" t="s">
        <v>171</v>
      </c>
      <c r="B76" s="6" t="s">
        <v>172</v>
      </c>
      <c r="C76" s="29" t="s">
        <v>173</v>
      </c>
      <c r="D76" s="6" t="s">
        <v>174</v>
      </c>
      <c r="E76" s="35"/>
      <c r="F76" s="139"/>
      <c r="G76" s="138">
        <v>471643704</v>
      </c>
      <c r="H76" s="36"/>
      <c r="I76" s="11">
        <f>SUM(I77:I85)</f>
        <v>471267347</v>
      </c>
      <c r="J76" s="476"/>
      <c r="K76" s="477"/>
      <c r="L76" s="11">
        <f>SUM(L77:L85)</f>
        <v>-22404489</v>
      </c>
      <c r="M76" s="476"/>
      <c r="N76" s="477"/>
      <c r="O76" s="11">
        <f>SUM(O77:O85)</f>
        <v>-11519144</v>
      </c>
      <c r="P76" s="348"/>
      <c r="Q76" s="348"/>
      <c r="R76" s="11">
        <f>SUM(R77:R85)</f>
        <v>0</v>
      </c>
      <c r="S76" s="27"/>
      <c r="T76" s="13">
        <f>SUM(T77:T85)</f>
        <v>437343715</v>
      </c>
      <c r="U76" s="13">
        <v>323116512.39841467</v>
      </c>
      <c r="V76" s="404"/>
    </row>
    <row r="77" spans="1:22" ht="15.75" customHeight="1" x14ac:dyDescent="0.3">
      <c r="A77" s="14" t="s">
        <v>175</v>
      </c>
      <c r="B77" s="481" t="s">
        <v>172</v>
      </c>
      <c r="C77" s="32" t="s">
        <v>176</v>
      </c>
      <c r="D77" s="102" t="s">
        <v>174</v>
      </c>
      <c r="E77" s="120">
        <v>11426.519999999999</v>
      </c>
      <c r="F77" s="140">
        <v>4600</v>
      </c>
      <c r="G77" s="141">
        <v>52561992</v>
      </c>
      <c r="H77" s="131">
        <v>4596</v>
      </c>
      <c r="I77" s="16">
        <f t="shared" ref="I77:I85" si="29">ROUND(E77*H77,0)</f>
        <v>52516286</v>
      </c>
      <c r="J77" s="22">
        <v>0</v>
      </c>
      <c r="K77" s="23">
        <v>0</v>
      </c>
      <c r="L77" s="345">
        <f t="shared" ref="L77:L85" si="30">ROUND(+J77*H77+K77*H77,0)</f>
        <v>0</v>
      </c>
      <c r="M77" s="22">
        <v>0</v>
      </c>
      <c r="N77" s="369">
        <v>-187</v>
      </c>
      <c r="O77" s="346">
        <f t="shared" si="11"/>
        <v>-859452</v>
      </c>
      <c r="P77" s="17">
        <v>0</v>
      </c>
      <c r="Q77" s="380">
        <v>0</v>
      </c>
      <c r="R77" s="19">
        <f t="shared" si="27"/>
        <v>0</v>
      </c>
      <c r="S77" s="259">
        <f t="shared" si="28"/>
        <v>11239.519999999999</v>
      </c>
      <c r="T77" s="20">
        <f t="shared" ref="T77:T85" si="31">ROUND(H77*S77,0)</f>
        <v>51656834</v>
      </c>
      <c r="U77" s="20">
        <v>33159956.68</v>
      </c>
      <c r="V77" s="403"/>
    </row>
    <row r="78" spans="1:22" ht="27.6" x14ac:dyDescent="0.3">
      <c r="A78" s="14" t="s">
        <v>177</v>
      </c>
      <c r="B78" s="481"/>
      <c r="C78" s="32" t="s">
        <v>178</v>
      </c>
      <c r="D78" s="102" t="s">
        <v>174</v>
      </c>
      <c r="E78" s="120">
        <v>11204.48</v>
      </c>
      <c r="F78" s="140">
        <v>4600</v>
      </c>
      <c r="G78" s="141">
        <v>51540608</v>
      </c>
      <c r="H78" s="131">
        <v>4597</v>
      </c>
      <c r="I78" s="16">
        <f t="shared" si="29"/>
        <v>51506995</v>
      </c>
      <c r="J78" s="22">
        <v>0</v>
      </c>
      <c r="K78" s="23">
        <v>0</v>
      </c>
      <c r="L78" s="345">
        <f t="shared" si="30"/>
        <v>0</v>
      </c>
      <c r="M78" s="22">
        <v>0</v>
      </c>
      <c r="N78" s="23">
        <v>0</v>
      </c>
      <c r="O78" s="346">
        <f t="shared" si="11"/>
        <v>0</v>
      </c>
      <c r="P78" s="17">
        <v>0</v>
      </c>
      <c r="Q78" s="358">
        <v>0</v>
      </c>
      <c r="R78" s="19">
        <f t="shared" si="27"/>
        <v>0</v>
      </c>
      <c r="S78" s="259">
        <f t="shared" si="28"/>
        <v>11204.48</v>
      </c>
      <c r="T78" s="20">
        <f t="shared" si="31"/>
        <v>51506995</v>
      </c>
      <c r="U78" s="20">
        <v>8427772.0399999991</v>
      </c>
      <c r="V78" s="403"/>
    </row>
    <row r="79" spans="1:22" ht="27.6" x14ac:dyDescent="0.3">
      <c r="A79" s="14" t="s">
        <v>179</v>
      </c>
      <c r="B79" s="481"/>
      <c r="C79" s="32" t="s">
        <v>180</v>
      </c>
      <c r="D79" s="102" t="s">
        <v>174</v>
      </c>
      <c r="E79" s="120">
        <v>11255.72</v>
      </c>
      <c r="F79" s="140">
        <v>4600</v>
      </c>
      <c r="G79" s="141">
        <v>51776312</v>
      </c>
      <c r="H79" s="131">
        <v>4596</v>
      </c>
      <c r="I79" s="16">
        <f t="shared" si="29"/>
        <v>51731289</v>
      </c>
      <c r="J79" s="22">
        <v>0</v>
      </c>
      <c r="K79" s="23">
        <v>0</v>
      </c>
      <c r="L79" s="345">
        <f t="shared" si="30"/>
        <v>0</v>
      </c>
      <c r="M79" s="22">
        <v>0</v>
      </c>
      <c r="N79" s="369">
        <v>-539.44799999999998</v>
      </c>
      <c r="O79" s="346">
        <f t="shared" si="11"/>
        <v>-2479303</v>
      </c>
      <c r="P79" s="17">
        <v>0</v>
      </c>
      <c r="Q79" s="380">
        <v>0</v>
      </c>
      <c r="R79" s="19">
        <f t="shared" si="27"/>
        <v>0</v>
      </c>
      <c r="S79" s="259">
        <f t="shared" si="28"/>
        <v>10716.271999999999</v>
      </c>
      <c r="T79" s="20">
        <f t="shared" si="31"/>
        <v>49251986</v>
      </c>
      <c r="U79" s="20">
        <v>30926759.440000001</v>
      </c>
      <c r="V79" s="403"/>
    </row>
    <row r="80" spans="1:22" ht="33" customHeight="1" x14ac:dyDescent="0.3">
      <c r="A80" s="14" t="s">
        <v>181</v>
      </c>
      <c r="B80" s="481"/>
      <c r="C80" s="32" t="s">
        <v>182</v>
      </c>
      <c r="D80" s="102" t="s">
        <v>174</v>
      </c>
      <c r="E80" s="120">
        <v>11563.159999999998</v>
      </c>
      <c r="F80" s="140">
        <v>4600</v>
      </c>
      <c r="G80" s="141">
        <v>53190536</v>
      </c>
      <c r="H80" s="131">
        <v>4596</v>
      </c>
      <c r="I80" s="16">
        <f t="shared" si="29"/>
        <v>53144283</v>
      </c>
      <c r="J80" s="22">
        <v>0</v>
      </c>
      <c r="K80" s="23">
        <v>0</v>
      </c>
      <c r="L80" s="345">
        <f t="shared" si="30"/>
        <v>0</v>
      </c>
      <c r="M80" s="22">
        <v>0</v>
      </c>
      <c r="N80" s="369">
        <v>-102.21120000000001</v>
      </c>
      <c r="O80" s="346">
        <f t="shared" si="11"/>
        <v>-469763</v>
      </c>
      <c r="P80" s="17">
        <v>0</v>
      </c>
      <c r="Q80" s="358">
        <v>0</v>
      </c>
      <c r="R80" s="19">
        <f t="shared" si="27"/>
        <v>0</v>
      </c>
      <c r="S80" s="259">
        <f t="shared" si="28"/>
        <v>11460.948799999998</v>
      </c>
      <c r="T80" s="20">
        <f t="shared" si="31"/>
        <v>52674521</v>
      </c>
      <c r="U80" s="20">
        <v>23369694.559999999</v>
      </c>
      <c r="V80" s="403"/>
    </row>
    <row r="81" spans="1:22" ht="27.6" x14ac:dyDescent="0.3">
      <c r="A81" s="14" t="s">
        <v>183</v>
      </c>
      <c r="B81" s="481"/>
      <c r="C81" s="32" t="s">
        <v>184</v>
      </c>
      <c r="D81" s="102" t="s">
        <v>174</v>
      </c>
      <c r="E81" s="122">
        <v>11426.519999999999</v>
      </c>
      <c r="F81" s="144">
        <v>4600</v>
      </c>
      <c r="G81" s="145">
        <v>52561992</v>
      </c>
      <c r="H81" s="131">
        <v>4596</v>
      </c>
      <c r="I81" s="16">
        <f t="shared" si="29"/>
        <v>52516286</v>
      </c>
      <c r="J81" s="22">
        <v>0</v>
      </c>
      <c r="K81" s="369">
        <f>-'[7]DEVOLUCION CHADO '!$I$21</f>
        <v>-4874.78</v>
      </c>
      <c r="L81" s="345">
        <f t="shared" si="30"/>
        <v>-22404489</v>
      </c>
      <c r="M81" s="22">
        <v>0</v>
      </c>
      <c r="N81" s="23">
        <v>0</v>
      </c>
      <c r="O81" s="346">
        <f t="shared" si="11"/>
        <v>0</v>
      </c>
      <c r="P81" s="17">
        <v>0</v>
      </c>
      <c r="Q81" s="358">
        <v>0</v>
      </c>
      <c r="R81" s="19">
        <f t="shared" si="27"/>
        <v>0</v>
      </c>
      <c r="S81" s="259">
        <f t="shared" si="28"/>
        <v>6551.7399999999989</v>
      </c>
      <c r="T81" s="20">
        <f t="shared" si="31"/>
        <v>30111797</v>
      </c>
      <c r="U81" s="20">
        <v>40190231.097480312</v>
      </c>
      <c r="V81" s="403"/>
    </row>
    <row r="82" spans="1:22" ht="27.6" x14ac:dyDescent="0.3">
      <c r="A82" s="14" t="s">
        <v>185</v>
      </c>
      <c r="B82" s="481"/>
      <c r="C82" s="32" t="s">
        <v>186</v>
      </c>
      <c r="D82" s="102" t="s">
        <v>174</v>
      </c>
      <c r="E82" s="122">
        <v>11392.359999999999</v>
      </c>
      <c r="F82" s="144">
        <v>4600</v>
      </c>
      <c r="G82" s="145">
        <v>52404856</v>
      </c>
      <c r="H82" s="131">
        <v>4596</v>
      </c>
      <c r="I82" s="16">
        <f t="shared" si="29"/>
        <v>52359287</v>
      </c>
      <c r="J82" s="22">
        <v>0</v>
      </c>
      <c r="K82" s="23">
        <v>0</v>
      </c>
      <c r="L82" s="345">
        <f t="shared" si="30"/>
        <v>0</v>
      </c>
      <c r="M82" s="22">
        <v>0</v>
      </c>
      <c r="N82" s="369">
        <v>-387.56</v>
      </c>
      <c r="O82" s="346">
        <f t="shared" ref="O82:O95" si="32">ROUND(+M82*H82+N82*H82,0)</f>
        <v>-1781226</v>
      </c>
      <c r="P82" s="17">
        <v>0</v>
      </c>
      <c r="Q82" s="358">
        <v>0</v>
      </c>
      <c r="R82" s="19">
        <f t="shared" si="27"/>
        <v>0</v>
      </c>
      <c r="S82" s="259">
        <f t="shared" si="28"/>
        <v>11004.8</v>
      </c>
      <c r="T82" s="20">
        <f t="shared" si="31"/>
        <v>50578061</v>
      </c>
      <c r="U82" s="20">
        <v>42377792.510666661</v>
      </c>
      <c r="V82" s="403"/>
    </row>
    <row r="83" spans="1:22" ht="27.6" x14ac:dyDescent="0.3">
      <c r="A83" s="14" t="s">
        <v>187</v>
      </c>
      <c r="B83" s="481"/>
      <c r="C83" s="32" t="s">
        <v>188</v>
      </c>
      <c r="D83" s="102" t="s">
        <v>174</v>
      </c>
      <c r="E83" s="122">
        <v>11238.64</v>
      </c>
      <c r="F83" s="144">
        <v>4600</v>
      </c>
      <c r="G83" s="145">
        <v>51697744</v>
      </c>
      <c r="H83" s="131">
        <v>4597</v>
      </c>
      <c r="I83" s="16">
        <f t="shared" si="29"/>
        <v>51664028</v>
      </c>
      <c r="J83" s="22">
        <v>0</v>
      </c>
      <c r="K83" s="23">
        <v>0</v>
      </c>
      <c r="L83" s="345">
        <f t="shared" si="30"/>
        <v>0</v>
      </c>
      <c r="M83" s="22">
        <v>0</v>
      </c>
      <c r="N83" s="23">
        <v>0</v>
      </c>
      <c r="O83" s="346">
        <f t="shared" si="32"/>
        <v>0</v>
      </c>
      <c r="P83" s="17">
        <v>0</v>
      </c>
      <c r="Q83" s="380">
        <v>0</v>
      </c>
      <c r="R83" s="19">
        <f t="shared" si="27"/>
        <v>0</v>
      </c>
      <c r="S83" s="259">
        <f t="shared" si="28"/>
        <v>11238.64</v>
      </c>
      <c r="T83" s="20">
        <f t="shared" si="31"/>
        <v>51664028</v>
      </c>
      <c r="U83" s="20">
        <v>40792652.280000001</v>
      </c>
      <c r="V83" s="403"/>
    </row>
    <row r="84" spans="1:22" ht="27.6" x14ac:dyDescent="0.3">
      <c r="A84" s="14" t="s">
        <v>189</v>
      </c>
      <c r="B84" s="481"/>
      <c r="C84" s="32" t="s">
        <v>190</v>
      </c>
      <c r="D84" s="102" t="s">
        <v>174</v>
      </c>
      <c r="E84" s="122">
        <v>11324.039999999999</v>
      </c>
      <c r="F84" s="144">
        <v>4600</v>
      </c>
      <c r="G84" s="145">
        <v>52090584</v>
      </c>
      <c r="H84" s="131">
        <v>4597</v>
      </c>
      <c r="I84" s="16">
        <f t="shared" si="29"/>
        <v>52056612</v>
      </c>
      <c r="J84" s="22">
        <v>0</v>
      </c>
      <c r="K84" s="23">
        <v>0</v>
      </c>
      <c r="L84" s="345">
        <f t="shared" si="30"/>
        <v>0</v>
      </c>
      <c r="M84" s="22">
        <v>0</v>
      </c>
      <c r="N84" s="369">
        <v>-376.07</v>
      </c>
      <c r="O84" s="346">
        <f t="shared" si="32"/>
        <v>-1728794</v>
      </c>
      <c r="P84" s="17">
        <v>0</v>
      </c>
      <c r="Q84" s="358">
        <v>0</v>
      </c>
      <c r="R84" s="19">
        <f t="shared" si="27"/>
        <v>0</v>
      </c>
      <c r="S84" s="259">
        <f t="shared" si="28"/>
        <v>10947.97</v>
      </c>
      <c r="T84" s="20">
        <f t="shared" si="31"/>
        <v>50327818</v>
      </c>
      <c r="U84" s="20">
        <v>54312984.924503937</v>
      </c>
      <c r="V84" s="403"/>
    </row>
    <row r="85" spans="1:22" ht="27.6" x14ac:dyDescent="0.3">
      <c r="A85" s="14" t="s">
        <v>191</v>
      </c>
      <c r="B85" s="481"/>
      <c r="C85" s="32" t="s">
        <v>192</v>
      </c>
      <c r="D85" s="102" t="s">
        <v>174</v>
      </c>
      <c r="E85" s="122">
        <v>11699.799999999997</v>
      </c>
      <c r="F85" s="144">
        <v>4600</v>
      </c>
      <c r="G85" s="145">
        <v>53819080</v>
      </c>
      <c r="H85" s="131">
        <v>4596</v>
      </c>
      <c r="I85" s="16">
        <f t="shared" si="29"/>
        <v>53772281</v>
      </c>
      <c r="J85" s="22">
        <v>0</v>
      </c>
      <c r="K85" s="23">
        <v>0</v>
      </c>
      <c r="L85" s="24">
        <f t="shared" si="30"/>
        <v>0</v>
      </c>
      <c r="M85" s="22">
        <v>0</v>
      </c>
      <c r="N85" s="369">
        <v>-913.97</v>
      </c>
      <c r="O85" s="346">
        <f t="shared" si="32"/>
        <v>-4200606</v>
      </c>
      <c r="P85" s="381">
        <v>0</v>
      </c>
      <c r="Q85" s="358">
        <v>0</v>
      </c>
      <c r="R85" s="19">
        <f t="shared" si="27"/>
        <v>0</v>
      </c>
      <c r="S85" s="259">
        <f t="shared" si="28"/>
        <v>10785.829999999998</v>
      </c>
      <c r="T85" s="20">
        <f t="shared" si="31"/>
        <v>49571675</v>
      </c>
      <c r="U85" s="20">
        <v>49558668.865763783</v>
      </c>
      <c r="V85" s="403"/>
    </row>
    <row r="86" spans="1:22" ht="14.4" x14ac:dyDescent="0.3">
      <c r="A86" s="28" t="s">
        <v>193</v>
      </c>
      <c r="B86" s="6" t="s">
        <v>172</v>
      </c>
      <c r="C86" s="29" t="s">
        <v>194</v>
      </c>
      <c r="D86" s="6" t="s">
        <v>174</v>
      </c>
      <c r="E86" s="35"/>
      <c r="F86" s="139"/>
      <c r="G86" s="138">
        <v>57040365</v>
      </c>
      <c r="H86" s="36"/>
      <c r="I86" s="11">
        <f>SUM(I87:I95)</f>
        <v>56996893</v>
      </c>
      <c r="J86" s="476"/>
      <c r="K86" s="477"/>
      <c r="L86" s="11">
        <f>SUM(L87:L95)</f>
        <v>-3537969</v>
      </c>
      <c r="M86" s="476"/>
      <c r="N86" s="477"/>
      <c r="O86" s="11">
        <f>SUM(O87:O95)</f>
        <v>-4770434</v>
      </c>
      <c r="P86" s="348"/>
      <c r="Q86" s="348"/>
      <c r="R86" s="11">
        <f>SUM(R87:R95)</f>
        <v>0</v>
      </c>
      <c r="S86" s="27"/>
      <c r="T86" s="13">
        <f>SUM(T87:T95)</f>
        <v>48688490</v>
      </c>
      <c r="U86" s="13">
        <v>43991549.038348205</v>
      </c>
      <c r="V86" s="404"/>
    </row>
    <row r="87" spans="1:22" ht="27.75" customHeight="1" x14ac:dyDescent="0.3">
      <c r="A87" s="14" t="s">
        <v>195</v>
      </c>
      <c r="B87" s="481" t="s">
        <v>172</v>
      </c>
      <c r="C87" s="32" t="s">
        <v>196</v>
      </c>
      <c r="D87" s="102" t="s">
        <v>174</v>
      </c>
      <c r="E87" s="120">
        <v>1211.06</v>
      </c>
      <c r="F87" s="140">
        <v>4600</v>
      </c>
      <c r="G87" s="141">
        <v>5570863</v>
      </c>
      <c r="H87" s="131">
        <v>4596</v>
      </c>
      <c r="I87" s="16">
        <f t="shared" ref="I87:I95" si="33">ROUND(E87*H87,0)</f>
        <v>5566032</v>
      </c>
      <c r="J87" s="22">
        <v>0</v>
      </c>
      <c r="K87" s="23">
        <v>0</v>
      </c>
      <c r="L87" s="24">
        <f t="shared" ref="L87:L95" si="34">ROUND(+J87*H87+K87*H87,0)</f>
        <v>0</v>
      </c>
      <c r="M87" s="22">
        <v>0</v>
      </c>
      <c r="N87" s="369">
        <v>-14.56</v>
      </c>
      <c r="O87" s="346">
        <f t="shared" si="32"/>
        <v>-66918</v>
      </c>
      <c r="P87" s="17">
        <v>0</v>
      </c>
      <c r="Q87" s="380">
        <v>0</v>
      </c>
      <c r="R87" s="19">
        <f t="shared" si="27"/>
        <v>0</v>
      </c>
      <c r="S87" s="259">
        <f>+E87+J87+K87+M87+N87+P87+Q87</f>
        <v>1196.5</v>
      </c>
      <c r="T87" s="20">
        <f t="shared" ref="T87:T95" si="35">ROUND(H87*S87,0)</f>
        <v>5499114</v>
      </c>
      <c r="U87" s="20">
        <v>5436452.2560000001</v>
      </c>
      <c r="V87" s="403"/>
    </row>
    <row r="88" spans="1:22" ht="27.6" x14ac:dyDescent="0.3">
      <c r="A88" s="14" t="s">
        <v>197</v>
      </c>
      <c r="B88" s="481"/>
      <c r="C88" s="32" t="s">
        <v>198</v>
      </c>
      <c r="D88" s="102" t="s">
        <v>174</v>
      </c>
      <c r="E88" s="120">
        <v>1187.52</v>
      </c>
      <c r="F88" s="140">
        <v>5438</v>
      </c>
      <c r="G88" s="141">
        <v>6457756</v>
      </c>
      <c r="H88" s="131">
        <v>5434</v>
      </c>
      <c r="I88" s="16">
        <f t="shared" si="33"/>
        <v>6452984</v>
      </c>
      <c r="J88" s="22">
        <v>0</v>
      </c>
      <c r="K88" s="23">
        <v>0</v>
      </c>
      <c r="L88" s="345">
        <f t="shared" si="34"/>
        <v>0</v>
      </c>
      <c r="M88" s="22">
        <v>0</v>
      </c>
      <c r="N88" s="23">
        <v>0</v>
      </c>
      <c r="O88" s="346">
        <f t="shared" si="32"/>
        <v>0</v>
      </c>
      <c r="P88" s="17">
        <v>0</v>
      </c>
      <c r="Q88" s="358">
        <v>0</v>
      </c>
      <c r="R88" s="19">
        <f t="shared" si="27"/>
        <v>0</v>
      </c>
      <c r="S88" s="259">
        <f t="shared" ref="S88:S95" si="36">+E88+J88+K88+M88+N88+P88+Q88</f>
        <v>1187.52</v>
      </c>
      <c r="T88" s="20">
        <f t="shared" si="35"/>
        <v>6452984</v>
      </c>
      <c r="U88" s="20">
        <v>857213.5</v>
      </c>
      <c r="V88" s="403"/>
    </row>
    <row r="89" spans="1:22" ht="27.6" x14ac:dyDescent="0.3">
      <c r="A89" s="14" t="s">
        <v>199</v>
      </c>
      <c r="B89" s="481"/>
      <c r="C89" s="32" t="s">
        <v>200</v>
      </c>
      <c r="D89" s="102" t="s">
        <v>174</v>
      </c>
      <c r="E89" s="120">
        <v>1192.95</v>
      </c>
      <c r="F89" s="140">
        <v>5438</v>
      </c>
      <c r="G89" s="141">
        <v>6487288</v>
      </c>
      <c r="H89" s="131">
        <v>5434</v>
      </c>
      <c r="I89" s="16">
        <f t="shared" si="33"/>
        <v>6482490</v>
      </c>
      <c r="J89" s="22">
        <v>0</v>
      </c>
      <c r="K89" s="23">
        <v>0</v>
      </c>
      <c r="L89" s="345">
        <f t="shared" si="34"/>
        <v>0</v>
      </c>
      <c r="M89" s="22">
        <v>0</v>
      </c>
      <c r="N89" s="369">
        <v>-46.106666666666698</v>
      </c>
      <c r="O89" s="346">
        <f t="shared" si="32"/>
        <v>-250544</v>
      </c>
      <c r="P89" s="17">
        <v>0</v>
      </c>
      <c r="Q89" s="380">
        <v>0</v>
      </c>
      <c r="R89" s="19">
        <f t="shared" si="27"/>
        <v>0</v>
      </c>
      <c r="S89" s="259">
        <f t="shared" si="36"/>
        <v>1146.8433333333332</v>
      </c>
      <c r="T89" s="20">
        <f t="shared" si="35"/>
        <v>6231947</v>
      </c>
      <c r="U89" s="20">
        <v>3395825.9</v>
      </c>
      <c r="V89" s="403"/>
    </row>
    <row r="90" spans="1:22" ht="15.75" customHeight="1" x14ac:dyDescent="0.3">
      <c r="A90" s="14" t="s">
        <v>201</v>
      </c>
      <c r="B90" s="481"/>
      <c r="C90" s="32" t="s">
        <v>202</v>
      </c>
      <c r="D90" s="102" t="s">
        <v>174</v>
      </c>
      <c r="E90" s="120">
        <v>1225.54</v>
      </c>
      <c r="F90" s="140">
        <v>5438</v>
      </c>
      <c r="G90" s="141">
        <v>6664482</v>
      </c>
      <c r="H90" s="131">
        <v>5434</v>
      </c>
      <c r="I90" s="16">
        <f t="shared" si="33"/>
        <v>6659584</v>
      </c>
      <c r="J90" s="22">
        <v>0</v>
      </c>
      <c r="K90" s="23">
        <v>0</v>
      </c>
      <c r="L90" s="345">
        <f t="shared" si="34"/>
        <v>0</v>
      </c>
      <c r="M90" s="22">
        <v>0</v>
      </c>
      <c r="N90" s="369">
        <v>-8.7360000000000007</v>
      </c>
      <c r="O90" s="346">
        <f t="shared" si="32"/>
        <v>-47471</v>
      </c>
      <c r="P90" s="17">
        <v>0</v>
      </c>
      <c r="Q90" s="358">
        <v>0</v>
      </c>
      <c r="R90" s="19">
        <f t="shared" si="27"/>
        <v>0</v>
      </c>
      <c r="S90" s="259">
        <f t="shared" si="36"/>
        <v>1216.8039999999999</v>
      </c>
      <c r="T90" s="20">
        <f t="shared" si="35"/>
        <v>6612113</v>
      </c>
      <c r="U90" s="20">
        <v>2447147.6799999997</v>
      </c>
      <c r="V90" s="403"/>
    </row>
    <row r="91" spans="1:22" ht="27.6" x14ac:dyDescent="0.3">
      <c r="A91" s="14" t="s">
        <v>203</v>
      </c>
      <c r="B91" s="481"/>
      <c r="C91" s="32" t="s">
        <v>204</v>
      </c>
      <c r="D91" s="102" t="s">
        <v>174</v>
      </c>
      <c r="E91" s="122">
        <v>1211.06</v>
      </c>
      <c r="F91" s="144">
        <v>5438</v>
      </c>
      <c r="G91" s="145">
        <v>6585729</v>
      </c>
      <c r="H91" s="131">
        <v>5434</v>
      </c>
      <c r="I91" s="16">
        <f t="shared" si="33"/>
        <v>6580900</v>
      </c>
      <c r="J91" s="22">
        <v>0</v>
      </c>
      <c r="K91" s="369">
        <f>-'[7]DEVOLUCION CHADO '!$I$23</f>
        <v>-651.08000000000004</v>
      </c>
      <c r="L91" s="345">
        <f t="shared" si="34"/>
        <v>-3537969</v>
      </c>
      <c r="M91" s="22">
        <v>0</v>
      </c>
      <c r="N91" s="23">
        <v>0</v>
      </c>
      <c r="O91" s="346">
        <f t="shared" si="32"/>
        <v>0</v>
      </c>
      <c r="P91" s="17">
        <v>0</v>
      </c>
      <c r="Q91" s="358">
        <v>0</v>
      </c>
      <c r="R91" s="19">
        <f t="shared" si="27"/>
        <v>0</v>
      </c>
      <c r="S91" s="259">
        <f t="shared" si="36"/>
        <v>559.9799999999999</v>
      </c>
      <c r="T91" s="20">
        <f t="shared" si="35"/>
        <v>3042931</v>
      </c>
      <c r="U91" s="20">
        <v>6599625.0000000009</v>
      </c>
      <c r="V91" s="403"/>
    </row>
    <row r="92" spans="1:22" ht="27.6" x14ac:dyDescent="0.3">
      <c r="A92" s="14" t="s">
        <v>205</v>
      </c>
      <c r="B92" s="481"/>
      <c r="C92" s="32" t="s">
        <v>206</v>
      </c>
      <c r="D92" s="102" t="s">
        <v>174</v>
      </c>
      <c r="E92" s="122">
        <v>1207.44</v>
      </c>
      <c r="F92" s="144">
        <v>5438</v>
      </c>
      <c r="G92" s="145">
        <v>6566041</v>
      </c>
      <c r="H92" s="131">
        <v>5434</v>
      </c>
      <c r="I92" s="16">
        <f t="shared" si="33"/>
        <v>6561229</v>
      </c>
      <c r="J92" s="22">
        <v>0</v>
      </c>
      <c r="K92" s="23">
        <v>0</v>
      </c>
      <c r="L92" s="345">
        <f t="shared" si="34"/>
        <v>0</v>
      </c>
      <c r="M92" s="22">
        <v>0</v>
      </c>
      <c r="N92" s="369">
        <v>-268.32</v>
      </c>
      <c r="O92" s="346">
        <f t="shared" si="32"/>
        <v>-1458051</v>
      </c>
      <c r="P92" s="381">
        <v>0</v>
      </c>
      <c r="Q92" s="358">
        <v>0</v>
      </c>
      <c r="R92" s="19">
        <f t="shared" si="27"/>
        <v>0</v>
      </c>
      <c r="S92" s="259">
        <f t="shared" si="36"/>
        <v>939.12000000000012</v>
      </c>
      <c r="T92" s="20">
        <f t="shared" si="35"/>
        <v>5103178</v>
      </c>
      <c r="U92" s="20">
        <v>5460377.8748381445</v>
      </c>
      <c r="V92" s="403"/>
    </row>
    <row r="93" spans="1:22" ht="27.6" x14ac:dyDescent="0.3">
      <c r="A93" s="14" t="s">
        <v>207</v>
      </c>
      <c r="B93" s="481"/>
      <c r="C93" s="32" t="s">
        <v>208</v>
      </c>
      <c r="D93" s="102" t="s">
        <v>174</v>
      </c>
      <c r="E93" s="122">
        <v>1191.1400000000001</v>
      </c>
      <c r="F93" s="144">
        <v>5438</v>
      </c>
      <c r="G93" s="145">
        <v>6477444</v>
      </c>
      <c r="H93" s="131">
        <v>5434</v>
      </c>
      <c r="I93" s="16">
        <f t="shared" si="33"/>
        <v>6472655</v>
      </c>
      <c r="J93" s="22">
        <v>0</v>
      </c>
      <c r="K93" s="23">
        <v>0</v>
      </c>
      <c r="L93" s="345">
        <f t="shared" si="34"/>
        <v>0</v>
      </c>
      <c r="M93" s="22">
        <v>0</v>
      </c>
      <c r="N93" s="23">
        <v>0</v>
      </c>
      <c r="O93" s="346">
        <f t="shared" si="32"/>
        <v>0</v>
      </c>
      <c r="P93" s="17">
        <v>0</v>
      </c>
      <c r="Q93" s="380">
        <v>0</v>
      </c>
      <c r="R93" s="19">
        <f t="shared" si="27"/>
        <v>0</v>
      </c>
      <c r="S93" s="259">
        <f t="shared" si="36"/>
        <v>1191.1400000000001</v>
      </c>
      <c r="T93" s="20">
        <f t="shared" si="35"/>
        <v>6472655</v>
      </c>
      <c r="U93" s="20">
        <v>5119364.0240000002</v>
      </c>
      <c r="V93" s="403"/>
    </row>
    <row r="94" spans="1:22" ht="27.6" x14ac:dyDescent="0.3">
      <c r="A94" s="14" t="s">
        <v>209</v>
      </c>
      <c r="B94" s="481"/>
      <c r="C94" s="32" t="s">
        <v>210</v>
      </c>
      <c r="D94" s="102" t="s">
        <v>174</v>
      </c>
      <c r="E94" s="122">
        <v>1200.2</v>
      </c>
      <c r="F94" s="144">
        <v>5438</v>
      </c>
      <c r="G94" s="145">
        <v>6526664</v>
      </c>
      <c r="H94" s="131">
        <v>5434</v>
      </c>
      <c r="I94" s="16">
        <f t="shared" si="33"/>
        <v>6521887</v>
      </c>
      <c r="J94" s="22">
        <v>0</v>
      </c>
      <c r="K94" s="23">
        <v>0</v>
      </c>
      <c r="L94" s="345">
        <f t="shared" si="34"/>
        <v>0</v>
      </c>
      <c r="M94" s="22">
        <v>0</v>
      </c>
      <c r="N94" s="369">
        <v>-265.93</v>
      </c>
      <c r="O94" s="346">
        <f t="shared" si="32"/>
        <v>-1445064</v>
      </c>
      <c r="P94" s="17">
        <v>0</v>
      </c>
      <c r="Q94" s="358">
        <v>0</v>
      </c>
      <c r="R94" s="19">
        <f t="shared" si="27"/>
        <v>0</v>
      </c>
      <c r="S94" s="259">
        <f t="shared" si="36"/>
        <v>934.27</v>
      </c>
      <c r="T94" s="20">
        <f t="shared" si="35"/>
        <v>5076823</v>
      </c>
      <c r="U94" s="20">
        <v>9243119.9040349945</v>
      </c>
      <c r="V94" s="403"/>
    </row>
    <row r="95" spans="1:22" ht="27.6" x14ac:dyDescent="0.3">
      <c r="A95" s="14" t="s">
        <v>211</v>
      </c>
      <c r="B95" s="481"/>
      <c r="C95" s="32" t="s">
        <v>212</v>
      </c>
      <c r="D95" s="102" t="s">
        <v>174</v>
      </c>
      <c r="E95" s="122">
        <v>1240.02</v>
      </c>
      <c r="F95" s="144">
        <v>4600</v>
      </c>
      <c r="G95" s="145">
        <v>5704098</v>
      </c>
      <c r="H95" s="131">
        <v>4596</v>
      </c>
      <c r="I95" s="16">
        <f t="shared" si="33"/>
        <v>5699132</v>
      </c>
      <c r="J95" s="22">
        <v>0</v>
      </c>
      <c r="K95" s="23">
        <v>0</v>
      </c>
      <c r="L95" s="24">
        <f t="shared" si="34"/>
        <v>0</v>
      </c>
      <c r="M95" s="22">
        <v>0</v>
      </c>
      <c r="N95" s="369">
        <v>-326.89</v>
      </c>
      <c r="O95" s="346">
        <f t="shared" si="32"/>
        <v>-1502386</v>
      </c>
      <c r="P95" s="17">
        <v>0</v>
      </c>
      <c r="Q95" s="358">
        <v>0</v>
      </c>
      <c r="R95" s="19">
        <f t="shared" si="27"/>
        <v>0</v>
      </c>
      <c r="S95" s="259">
        <f t="shared" si="36"/>
        <v>913.13</v>
      </c>
      <c r="T95" s="20">
        <f t="shared" si="35"/>
        <v>4196745</v>
      </c>
      <c r="U95" s="20">
        <v>5432422.8994750651</v>
      </c>
      <c r="V95" s="403"/>
    </row>
    <row r="96" spans="1:22" ht="14.4" x14ac:dyDescent="0.3">
      <c r="A96" s="5" t="s">
        <v>213</v>
      </c>
      <c r="B96" s="6"/>
      <c r="C96" s="106" t="s">
        <v>214</v>
      </c>
      <c r="D96" s="107"/>
      <c r="E96" s="107"/>
      <c r="F96" s="152"/>
      <c r="G96" s="153">
        <v>2080691105</v>
      </c>
      <c r="H96" s="108"/>
      <c r="I96" s="11">
        <f>+I97+I107+I117+I127+I137+I147+I157</f>
        <v>2080220709</v>
      </c>
      <c r="J96" s="476"/>
      <c r="K96" s="477"/>
      <c r="L96" s="11">
        <f>+L97+L107+L117+L127+L137+L147+L157</f>
        <v>-235134708</v>
      </c>
      <c r="M96" s="476"/>
      <c r="N96" s="477"/>
      <c r="O96" s="11">
        <f>+O97+O107+O117+O127+O137+O147+O157</f>
        <v>-179010630</v>
      </c>
      <c r="P96" s="348"/>
      <c r="Q96" s="348"/>
      <c r="R96" s="11">
        <f>+R97+R107+R117+R127+R137+R147+R157</f>
        <v>-31367682</v>
      </c>
      <c r="S96" s="8"/>
      <c r="T96" s="13">
        <f>+T97+T107+T117+T127+T137+T147+T157</f>
        <v>1634707693</v>
      </c>
      <c r="U96" s="13">
        <v>885777706.06695986</v>
      </c>
      <c r="V96" s="404"/>
    </row>
    <row r="97" spans="1:22" ht="14.4" x14ac:dyDescent="0.3">
      <c r="A97" s="28" t="s">
        <v>215</v>
      </c>
      <c r="B97" s="33" t="s">
        <v>216</v>
      </c>
      <c r="C97" s="34" t="s">
        <v>217</v>
      </c>
      <c r="D97" s="6" t="s">
        <v>25</v>
      </c>
      <c r="E97" s="35"/>
      <c r="F97" s="139"/>
      <c r="G97" s="138">
        <v>102749961</v>
      </c>
      <c r="H97" s="36"/>
      <c r="I97" s="11">
        <f>SUM(I98:I106)</f>
        <v>102734692</v>
      </c>
      <c r="J97" s="476"/>
      <c r="K97" s="477"/>
      <c r="L97" s="11">
        <f>SUM(L98:L106)</f>
        <v>-5928161</v>
      </c>
      <c r="M97" s="476"/>
      <c r="N97" s="477"/>
      <c r="O97" s="11">
        <f>SUM(O98:O106)</f>
        <v>0</v>
      </c>
      <c r="P97" s="348"/>
      <c r="Q97" s="348"/>
      <c r="R97" s="11">
        <f>SUM(R98:R106)</f>
        <v>-4977644</v>
      </c>
      <c r="S97" s="27"/>
      <c r="T97" s="13">
        <f>SUM(T98:T106)</f>
        <v>91828886</v>
      </c>
      <c r="U97" s="13">
        <v>51259862.630000003</v>
      </c>
      <c r="V97" s="404"/>
    </row>
    <row r="98" spans="1:22" ht="14.4" x14ac:dyDescent="0.3">
      <c r="A98" s="14" t="s">
        <v>218</v>
      </c>
      <c r="B98" s="484" t="s">
        <v>216</v>
      </c>
      <c r="C98" s="37" t="s">
        <v>219</v>
      </c>
      <c r="D98" s="102" t="s">
        <v>25</v>
      </c>
      <c r="E98" s="121">
        <v>514.01</v>
      </c>
      <c r="F98" s="142">
        <v>25148</v>
      </c>
      <c r="G98" s="143">
        <v>12926323</v>
      </c>
      <c r="H98" s="131">
        <v>25145</v>
      </c>
      <c r="I98" s="16">
        <f t="shared" ref="I98:I106" si="37">ROUND(E98*H98,0)</f>
        <v>12924781</v>
      </c>
      <c r="J98" s="370">
        <v>102.8</v>
      </c>
      <c r="K98" s="23">
        <v>0</v>
      </c>
      <c r="L98" s="345">
        <f t="shared" ref="L98:L106" si="38">ROUND(+J98*H98+K98*H98,0)</f>
        <v>2584906</v>
      </c>
      <c r="M98" s="22">
        <v>0</v>
      </c>
      <c r="N98" s="23">
        <v>0</v>
      </c>
      <c r="O98" s="19">
        <f t="shared" ref="O98:O161" si="39">ROUND(+M98*H98+N98*H98,0)</f>
        <v>0</v>
      </c>
      <c r="P98" s="17">
        <v>0</v>
      </c>
      <c r="Q98" s="380">
        <v>0</v>
      </c>
      <c r="R98" s="19">
        <f t="shared" ref="R98:R115" si="40">ROUND(+P98*H98+Q98*H98,0)</f>
        <v>0</v>
      </c>
      <c r="S98" s="259">
        <f t="shared" ref="S98:S106" si="41">+E98+J98+K98+M98+N98+P98+Q98</f>
        <v>616.80999999999995</v>
      </c>
      <c r="T98" s="20">
        <f t="shared" ref="T98:T106" si="42">ROUND(H98*S98,0)</f>
        <v>15509687</v>
      </c>
      <c r="U98" s="20">
        <v>8284429</v>
      </c>
      <c r="V98" s="403"/>
    </row>
    <row r="99" spans="1:22" ht="14.4" x14ac:dyDescent="0.3">
      <c r="A99" s="14" t="s">
        <v>220</v>
      </c>
      <c r="B99" s="485"/>
      <c r="C99" s="37" t="s">
        <v>221</v>
      </c>
      <c r="D99" s="102" t="s">
        <v>25</v>
      </c>
      <c r="E99" s="121">
        <v>405.47</v>
      </c>
      <c r="F99" s="142">
        <v>28342</v>
      </c>
      <c r="G99" s="143">
        <v>11491831</v>
      </c>
      <c r="H99" s="131">
        <v>28338</v>
      </c>
      <c r="I99" s="16">
        <f t="shared" si="37"/>
        <v>11490209</v>
      </c>
      <c r="J99" s="22">
        <v>0</v>
      </c>
      <c r="K99" s="23">
        <v>0</v>
      </c>
      <c r="L99" s="345">
        <f t="shared" si="38"/>
        <v>0</v>
      </c>
      <c r="M99" s="22">
        <v>0</v>
      </c>
      <c r="N99" s="23">
        <v>0</v>
      </c>
      <c r="O99" s="19">
        <f t="shared" si="39"/>
        <v>0</v>
      </c>
      <c r="P99" s="17">
        <v>0</v>
      </c>
      <c r="Q99" s="358">
        <v>0</v>
      </c>
      <c r="R99" s="19">
        <f t="shared" si="40"/>
        <v>0</v>
      </c>
      <c r="S99" s="259">
        <f t="shared" si="41"/>
        <v>405.47</v>
      </c>
      <c r="T99" s="20">
        <f t="shared" si="42"/>
        <v>11490209</v>
      </c>
      <c r="U99" s="20">
        <v>0</v>
      </c>
      <c r="V99" s="403"/>
    </row>
    <row r="100" spans="1:22" ht="18.75" customHeight="1" x14ac:dyDescent="0.3">
      <c r="A100" s="14" t="s">
        <v>222</v>
      </c>
      <c r="B100" s="485"/>
      <c r="C100" s="37" t="s">
        <v>223</v>
      </c>
      <c r="D100" s="102" t="s">
        <v>25</v>
      </c>
      <c r="E100" s="121">
        <v>391.76</v>
      </c>
      <c r="F100" s="142">
        <v>22934</v>
      </c>
      <c r="G100" s="143">
        <v>8984624</v>
      </c>
      <c r="H100" s="131">
        <v>22930</v>
      </c>
      <c r="I100" s="16">
        <f t="shared" si="37"/>
        <v>8983057</v>
      </c>
      <c r="J100" s="22">
        <v>0</v>
      </c>
      <c r="K100" s="362"/>
      <c r="L100" s="345">
        <f t="shared" si="38"/>
        <v>0</v>
      </c>
      <c r="M100" s="22">
        <v>0</v>
      </c>
      <c r="N100" s="23">
        <v>0</v>
      </c>
      <c r="O100" s="19">
        <f t="shared" si="39"/>
        <v>0</v>
      </c>
      <c r="P100" s="17">
        <v>0</v>
      </c>
      <c r="Q100" s="380">
        <v>-217.08</v>
      </c>
      <c r="R100" s="19">
        <f t="shared" si="40"/>
        <v>-4977644</v>
      </c>
      <c r="S100" s="259">
        <f t="shared" si="41"/>
        <v>174.67999999999998</v>
      </c>
      <c r="T100" s="20">
        <f t="shared" si="42"/>
        <v>4005412</v>
      </c>
      <c r="U100" s="20">
        <v>0</v>
      </c>
      <c r="V100" s="403"/>
    </row>
    <row r="101" spans="1:22" ht="14.4" x14ac:dyDescent="0.3">
      <c r="A101" s="14" t="s">
        <v>224</v>
      </c>
      <c r="B101" s="485"/>
      <c r="C101" s="37" t="s">
        <v>225</v>
      </c>
      <c r="D101" s="102" t="s">
        <v>25</v>
      </c>
      <c r="E101" s="121">
        <v>653.11</v>
      </c>
      <c r="F101" s="142">
        <v>25807</v>
      </c>
      <c r="G101" s="143">
        <v>16854810</v>
      </c>
      <c r="H101" s="131">
        <v>25803</v>
      </c>
      <c r="I101" s="16">
        <f t="shared" si="37"/>
        <v>16852197</v>
      </c>
      <c r="J101" s="22">
        <v>0</v>
      </c>
      <c r="K101" s="369">
        <v>-145.13</v>
      </c>
      <c r="L101" s="345">
        <f t="shared" si="38"/>
        <v>-3744789</v>
      </c>
      <c r="M101" s="22">
        <v>0</v>
      </c>
      <c r="N101" s="23">
        <v>0</v>
      </c>
      <c r="O101" s="19">
        <f t="shared" si="39"/>
        <v>0</v>
      </c>
      <c r="P101" s="17">
        <v>0</v>
      </c>
      <c r="Q101" s="380">
        <v>0</v>
      </c>
      <c r="R101" s="19">
        <f t="shared" si="40"/>
        <v>0</v>
      </c>
      <c r="S101" s="259">
        <f t="shared" si="41"/>
        <v>507.98</v>
      </c>
      <c r="T101" s="20">
        <f t="shared" si="42"/>
        <v>13107408</v>
      </c>
      <c r="U101" s="20">
        <v>3604678.79</v>
      </c>
      <c r="V101" s="403"/>
    </row>
    <row r="102" spans="1:22" ht="18.75" customHeight="1" x14ac:dyDescent="0.3">
      <c r="A102" s="14" t="s">
        <v>226</v>
      </c>
      <c r="B102" s="485"/>
      <c r="C102" s="37" t="s">
        <v>227</v>
      </c>
      <c r="D102" s="102" t="s">
        <v>25</v>
      </c>
      <c r="E102" s="121">
        <v>405.47</v>
      </c>
      <c r="F102" s="142">
        <v>28849</v>
      </c>
      <c r="G102" s="143">
        <v>11697404</v>
      </c>
      <c r="H102" s="131">
        <v>28846</v>
      </c>
      <c r="I102" s="16">
        <f t="shared" si="37"/>
        <v>11696188</v>
      </c>
      <c r="J102" s="22">
        <v>0</v>
      </c>
      <c r="K102" s="369">
        <f>-'[7]DEVOLUCION CHADO '!$I$26</f>
        <v>-105.25</v>
      </c>
      <c r="L102" s="345">
        <f t="shared" si="38"/>
        <v>-3036042</v>
      </c>
      <c r="M102" s="22">
        <v>0</v>
      </c>
      <c r="N102" s="23">
        <v>0</v>
      </c>
      <c r="O102" s="19">
        <f t="shared" si="39"/>
        <v>0</v>
      </c>
      <c r="P102" s="17">
        <v>0</v>
      </c>
      <c r="Q102" s="380">
        <v>0</v>
      </c>
      <c r="R102" s="19">
        <f t="shared" si="40"/>
        <v>0</v>
      </c>
      <c r="S102" s="259">
        <f t="shared" si="41"/>
        <v>300.22000000000003</v>
      </c>
      <c r="T102" s="20">
        <f t="shared" si="42"/>
        <v>8660146</v>
      </c>
      <c r="U102" s="20">
        <v>11691572</v>
      </c>
      <c r="V102" s="403"/>
    </row>
    <row r="103" spans="1:22" ht="18.75" customHeight="1" x14ac:dyDescent="0.3">
      <c r="A103" s="14" t="s">
        <v>228</v>
      </c>
      <c r="B103" s="485"/>
      <c r="C103" s="37" t="s">
        <v>229</v>
      </c>
      <c r="D103" s="102" t="s">
        <v>25</v>
      </c>
      <c r="E103" s="121">
        <v>397.98</v>
      </c>
      <c r="F103" s="142">
        <v>22765</v>
      </c>
      <c r="G103" s="143">
        <v>9060015</v>
      </c>
      <c r="H103" s="131">
        <v>22761</v>
      </c>
      <c r="I103" s="16">
        <f t="shared" si="37"/>
        <v>9058423</v>
      </c>
      <c r="J103" s="22">
        <v>0</v>
      </c>
      <c r="K103" s="23">
        <v>0</v>
      </c>
      <c r="L103" s="345">
        <f t="shared" si="38"/>
        <v>0</v>
      </c>
      <c r="M103" s="22">
        <v>0</v>
      </c>
      <c r="N103" s="23">
        <v>0</v>
      </c>
      <c r="O103" s="19">
        <f t="shared" si="39"/>
        <v>0</v>
      </c>
      <c r="P103" s="17">
        <v>0</v>
      </c>
      <c r="Q103" s="358">
        <v>0</v>
      </c>
      <c r="R103" s="19">
        <f t="shared" si="40"/>
        <v>0</v>
      </c>
      <c r="S103" s="259">
        <f t="shared" si="41"/>
        <v>397.98</v>
      </c>
      <c r="T103" s="20">
        <f t="shared" si="42"/>
        <v>9058423</v>
      </c>
      <c r="U103" s="20">
        <v>6149111.96</v>
      </c>
      <c r="V103" s="403"/>
    </row>
    <row r="104" spans="1:22" ht="14.4" x14ac:dyDescent="0.3">
      <c r="A104" s="14" t="s">
        <v>230</v>
      </c>
      <c r="B104" s="485"/>
      <c r="C104" s="37" t="s">
        <v>231</v>
      </c>
      <c r="D104" s="102" t="s">
        <v>25</v>
      </c>
      <c r="E104" s="121">
        <v>472.21</v>
      </c>
      <c r="F104" s="142">
        <v>23864</v>
      </c>
      <c r="G104" s="143">
        <v>11268819</v>
      </c>
      <c r="H104" s="131">
        <v>23860</v>
      </c>
      <c r="I104" s="16">
        <f t="shared" si="37"/>
        <v>11266931</v>
      </c>
      <c r="J104" s="22">
        <v>0</v>
      </c>
      <c r="K104" s="369">
        <v>-72.599999999999994</v>
      </c>
      <c r="L104" s="345">
        <f t="shared" si="38"/>
        <v>-1732236</v>
      </c>
      <c r="M104" s="22">
        <v>0</v>
      </c>
      <c r="N104" s="23">
        <v>0</v>
      </c>
      <c r="O104" s="19">
        <f t="shared" si="39"/>
        <v>0</v>
      </c>
      <c r="P104" s="17">
        <v>0</v>
      </c>
      <c r="Q104" s="380">
        <v>0</v>
      </c>
      <c r="R104" s="19">
        <f t="shared" si="40"/>
        <v>0</v>
      </c>
      <c r="S104" s="259">
        <f t="shared" si="41"/>
        <v>399.61</v>
      </c>
      <c r="T104" s="20">
        <f t="shared" si="42"/>
        <v>9534695</v>
      </c>
      <c r="U104" s="20">
        <v>4669402</v>
      </c>
      <c r="V104" s="403"/>
    </row>
    <row r="105" spans="1:22" ht="34.950000000000003" customHeight="1" x14ac:dyDescent="0.3">
      <c r="A105" s="14" t="s">
        <v>232</v>
      </c>
      <c r="B105" s="485"/>
      <c r="C105" s="37" t="s">
        <v>233</v>
      </c>
      <c r="D105" s="102" t="s">
        <v>25</v>
      </c>
      <c r="E105" s="121">
        <v>329.37</v>
      </c>
      <c r="F105" s="142">
        <v>24624</v>
      </c>
      <c r="G105" s="143">
        <v>8110407</v>
      </c>
      <c r="H105" s="131">
        <v>24620</v>
      </c>
      <c r="I105" s="16">
        <f t="shared" si="37"/>
        <v>8109089</v>
      </c>
      <c r="J105" s="22">
        <v>0</v>
      </c>
      <c r="K105" s="23">
        <v>0</v>
      </c>
      <c r="L105" s="345">
        <f t="shared" si="38"/>
        <v>0</v>
      </c>
      <c r="M105" s="22">
        <v>0</v>
      </c>
      <c r="N105" s="23">
        <v>0</v>
      </c>
      <c r="O105" s="19">
        <f t="shared" si="39"/>
        <v>0</v>
      </c>
      <c r="P105" s="17">
        <v>0</v>
      </c>
      <c r="Q105" s="358">
        <v>0</v>
      </c>
      <c r="R105" s="19">
        <f t="shared" si="40"/>
        <v>0</v>
      </c>
      <c r="S105" s="259">
        <f t="shared" si="41"/>
        <v>329.37</v>
      </c>
      <c r="T105" s="20">
        <f t="shared" si="42"/>
        <v>8109089</v>
      </c>
      <c r="U105" s="20">
        <v>8109089</v>
      </c>
      <c r="V105" s="403"/>
    </row>
    <row r="106" spans="1:22" ht="19.5" customHeight="1" x14ac:dyDescent="0.3">
      <c r="A106" s="14" t="s">
        <v>234</v>
      </c>
      <c r="B106" s="486"/>
      <c r="C106" s="37" t="s">
        <v>235</v>
      </c>
      <c r="D106" s="102" t="s">
        <v>25</v>
      </c>
      <c r="E106" s="121">
        <v>477.83</v>
      </c>
      <c r="F106" s="142">
        <v>25858</v>
      </c>
      <c r="G106" s="143">
        <v>12355728</v>
      </c>
      <c r="H106" s="131">
        <v>25854</v>
      </c>
      <c r="I106" s="16">
        <f t="shared" si="37"/>
        <v>12353817</v>
      </c>
      <c r="J106" s="22">
        <v>0</v>
      </c>
      <c r="K106" s="23">
        <v>0</v>
      </c>
      <c r="L106" s="345">
        <f t="shared" si="38"/>
        <v>0</v>
      </c>
      <c r="M106" s="22">
        <v>0</v>
      </c>
      <c r="N106" s="23">
        <v>0</v>
      </c>
      <c r="O106" s="19">
        <f t="shared" si="39"/>
        <v>0</v>
      </c>
      <c r="P106" s="17">
        <v>0</v>
      </c>
      <c r="Q106" s="358">
        <v>0</v>
      </c>
      <c r="R106" s="19">
        <f t="shared" si="40"/>
        <v>0</v>
      </c>
      <c r="S106" s="259">
        <f t="shared" si="41"/>
        <v>477.83</v>
      </c>
      <c r="T106" s="20">
        <f t="shared" si="42"/>
        <v>12353817</v>
      </c>
      <c r="U106" s="20">
        <v>8751579.879999999</v>
      </c>
      <c r="V106" s="403"/>
    </row>
    <row r="107" spans="1:22" ht="16.2" customHeight="1" x14ac:dyDescent="0.3">
      <c r="A107" s="5" t="s">
        <v>236</v>
      </c>
      <c r="B107" s="6" t="s">
        <v>237</v>
      </c>
      <c r="C107" s="29" t="s">
        <v>238</v>
      </c>
      <c r="D107" s="6" t="s">
        <v>25</v>
      </c>
      <c r="E107" s="35"/>
      <c r="F107" s="139"/>
      <c r="G107" s="138">
        <v>166692046</v>
      </c>
      <c r="H107" s="36"/>
      <c r="I107" s="11">
        <f>SUM(I108:I116)</f>
        <v>166687144</v>
      </c>
      <c r="J107" s="476"/>
      <c r="K107" s="477"/>
      <c r="L107" s="11">
        <f>SUM(L108:L116)</f>
        <v>-16571558</v>
      </c>
      <c r="M107" s="476"/>
      <c r="N107" s="477"/>
      <c r="O107" s="11">
        <f>SUM(O108:O116)</f>
        <v>8626080</v>
      </c>
      <c r="P107" s="348"/>
      <c r="Q107" s="348"/>
      <c r="R107" s="11">
        <f>SUM(R108:R116)</f>
        <v>-2322137</v>
      </c>
      <c r="S107" s="27"/>
      <c r="T107" s="13">
        <f>SUM(T108:T116)</f>
        <v>156419529</v>
      </c>
      <c r="U107" s="13">
        <v>100071085.8</v>
      </c>
      <c r="V107" s="404"/>
    </row>
    <row r="108" spans="1:22" ht="14.4" x14ac:dyDescent="0.3">
      <c r="A108" s="14" t="s">
        <v>239</v>
      </c>
      <c r="B108" s="484" t="s">
        <v>237</v>
      </c>
      <c r="C108" s="37" t="s">
        <v>240</v>
      </c>
      <c r="D108" s="102" t="s">
        <v>25</v>
      </c>
      <c r="E108" s="120">
        <v>160.72</v>
      </c>
      <c r="F108" s="140">
        <v>107830</v>
      </c>
      <c r="G108" s="141">
        <v>17330438</v>
      </c>
      <c r="H108" s="131">
        <v>107826</v>
      </c>
      <c r="I108" s="16">
        <f t="shared" ref="I108:I116" si="43">ROUND(E108*H108,0)</f>
        <v>17329795</v>
      </c>
      <c r="J108" s="22">
        <v>0</v>
      </c>
      <c r="K108" s="372">
        <v>-32.14</v>
      </c>
      <c r="L108" s="345">
        <f t="shared" ref="L108:L116" si="44">ROUND(+J108*H108+K108*H108,0)</f>
        <v>-3465528</v>
      </c>
      <c r="M108" s="365">
        <v>80</v>
      </c>
      <c r="N108" s="23">
        <v>0</v>
      </c>
      <c r="O108" s="19">
        <f t="shared" si="39"/>
        <v>8626080</v>
      </c>
      <c r="P108" s="17">
        <v>0</v>
      </c>
      <c r="Q108" s="380">
        <v>0</v>
      </c>
      <c r="R108" s="19">
        <f t="shared" si="40"/>
        <v>0</v>
      </c>
      <c r="S108" s="259">
        <f>+E108+J108+K108+M108+N108+P108+Q108</f>
        <v>208.57999999999998</v>
      </c>
      <c r="T108" s="20">
        <f t="shared" ref="T108:T116" si="45">ROUND(H108*S108,0)</f>
        <v>22490347</v>
      </c>
      <c r="U108" s="20">
        <v>13587507</v>
      </c>
      <c r="V108" s="403"/>
    </row>
    <row r="109" spans="1:22" ht="14.4" x14ac:dyDescent="0.3">
      <c r="A109" s="14" t="s">
        <v>241</v>
      </c>
      <c r="B109" s="485"/>
      <c r="C109" s="37" t="s">
        <v>242</v>
      </c>
      <c r="D109" s="102" t="s">
        <v>25</v>
      </c>
      <c r="E109" s="120">
        <v>126.28</v>
      </c>
      <c r="F109" s="140">
        <v>186142</v>
      </c>
      <c r="G109" s="141">
        <v>23506012</v>
      </c>
      <c r="H109" s="131">
        <v>186138</v>
      </c>
      <c r="I109" s="16">
        <f t="shared" si="43"/>
        <v>23505507</v>
      </c>
      <c r="J109" s="22">
        <v>0</v>
      </c>
      <c r="K109" s="23">
        <v>0</v>
      </c>
      <c r="L109" s="345">
        <f t="shared" si="44"/>
        <v>0</v>
      </c>
      <c r="M109" s="22">
        <v>0</v>
      </c>
      <c r="N109" s="23">
        <v>0</v>
      </c>
      <c r="O109" s="19">
        <f t="shared" si="39"/>
        <v>0</v>
      </c>
      <c r="P109" s="17"/>
      <c r="Q109" s="358">
        <v>0</v>
      </c>
      <c r="R109" s="19">
        <f t="shared" si="40"/>
        <v>0</v>
      </c>
      <c r="S109" s="259">
        <f t="shared" ref="S109:S126" si="46">+E109+J109+K109+M109+N109+P109+Q109</f>
        <v>126.28</v>
      </c>
      <c r="T109" s="20">
        <f t="shared" si="45"/>
        <v>23505507</v>
      </c>
      <c r="U109" s="20">
        <v>0</v>
      </c>
      <c r="V109" s="403"/>
    </row>
    <row r="110" spans="1:22" ht="14.4" x14ac:dyDescent="0.3">
      <c r="A110" s="14" t="s">
        <v>243</v>
      </c>
      <c r="B110" s="485"/>
      <c r="C110" s="37" t="s">
        <v>244</v>
      </c>
      <c r="D110" s="102" t="s">
        <v>25</v>
      </c>
      <c r="E110" s="120">
        <v>114.8</v>
      </c>
      <c r="F110" s="140">
        <v>101434</v>
      </c>
      <c r="G110" s="141">
        <v>11644623</v>
      </c>
      <c r="H110" s="131">
        <v>101430</v>
      </c>
      <c r="I110" s="16">
        <f t="shared" si="43"/>
        <v>11644164</v>
      </c>
      <c r="J110" s="22">
        <v>0</v>
      </c>
      <c r="K110" s="23">
        <v>0</v>
      </c>
      <c r="L110" s="345">
        <f t="shared" si="44"/>
        <v>0</v>
      </c>
      <c r="M110" s="22">
        <v>0</v>
      </c>
      <c r="N110" s="23">
        <v>0</v>
      </c>
      <c r="O110" s="19">
        <f t="shared" si="39"/>
        <v>0</v>
      </c>
      <c r="P110" s="17">
        <v>0</v>
      </c>
      <c r="Q110" s="380">
        <v>-53.7</v>
      </c>
      <c r="R110" s="19">
        <f t="shared" si="40"/>
        <v>-5446791</v>
      </c>
      <c r="S110" s="259">
        <f t="shared" si="46"/>
        <v>61.099999999999994</v>
      </c>
      <c r="T110" s="20">
        <f t="shared" si="45"/>
        <v>6197373</v>
      </c>
      <c r="U110" s="20">
        <v>0</v>
      </c>
      <c r="V110" s="403"/>
    </row>
    <row r="111" spans="1:22" ht="14.4" x14ac:dyDescent="0.3">
      <c r="A111" s="14" t="s">
        <v>245</v>
      </c>
      <c r="B111" s="485"/>
      <c r="C111" s="37" t="s">
        <v>246</v>
      </c>
      <c r="D111" s="102" t="s">
        <v>25</v>
      </c>
      <c r="E111" s="121">
        <v>206.64</v>
      </c>
      <c r="F111" s="142">
        <v>95584</v>
      </c>
      <c r="G111" s="143">
        <v>19751478</v>
      </c>
      <c r="H111" s="131">
        <v>95580</v>
      </c>
      <c r="I111" s="16">
        <f t="shared" si="43"/>
        <v>19750651</v>
      </c>
      <c r="J111" s="22">
        <v>0</v>
      </c>
      <c r="K111" s="372">
        <v>-45.9</v>
      </c>
      <c r="L111" s="345">
        <f t="shared" si="44"/>
        <v>-4387122</v>
      </c>
      <c r="M111" s="22">
        <v>0</v>
      </c>
      <c r="N111" s="23">
        <v>0</v>
      </c>
      <c r="O111" s="19">
        <f t="shared" si="39"/>
        <v>0</v>
      </c>
      <c r="P111" s="17">
        <v>0</v>
      </c>
      <c r="Q111" s="380">
        <v>0</v>
      </c>
      <c r="R111" s="19">
        <f t="shared" si="40"/>
        <v>0</v>
      </c>
      <c r="S111" s="259">
        <f t="shared" si="46"/>
        <v>160.73999999999998</v>
      </c>
      <c r="T111" s="20">
        <f t="shared" si="45"/>
        <v>15363529</v>
      </c>
      <c r="U111" s="20">
        <v>4636585.8</v>
      </c>
      <c r="V111" s="403"/>
    </row>
    <row r="112" spans="1:22" ht="14.4" x14ac:dyDescent="0.3">
      <c r="A112" s="14" t="s">
        <v>247</v>
      </c>
      <c r="B112" s="485"/>
      <c r="C112" s="37" t="s">
        <v>248</v>
      </c>
      <c r="D112" s="102" t="s">
        <v>25</v>
      </c>
      <c r="E112" s="124">
        <v>126.28</v>
      </c>
      <c r="F112" s="148">
        <v>122182</v>
      </c>
      <c r="G112" s="149">
        <v>15429143</v>
      </c>
      <c r="H112" s="131">
        <v>122178</v>
      </c>
      <c r="I112" s="16">
        <f t="shared" si="43"/>
        <v>15428638</v>
      </c>
      <c r="J112" s="22">
        <v>0</v>
      </c>
      <c r="K112" s="372">
        <f>-'[7]DEVOLUCION CHADO '!$I$28</f>
        <v>-49.78</v>
      </c>
      <c r="L112" s="345">
        <f t="shared" si="44"/>
        <v>-6082021</v>
      </c>
      <c r="M112" s="22">
        <v>0</v>
      </c>
      <c r="N112" s="23">
        <v>0</v>
      </c>
      <c r="O112" s="19">
        <f t="shared" si="39"/>
        <v>0</v>
      </c>
      <c r="P112" s="381">
        <v>9.4</v>
      </c>
      <c r="Q112" s="358">
        <v>0</v>
      </c>
      <c r="R112" s="19">
        <f t="shared" si="40"/>
        <v>1148473</v>
      </c>
      <c r="S112" s="259">
        <f t="shared" si="46"/>
        <v>85.9</v>
      </c>
      <c r="T112" s="20">
        <f t="shared" si="45"/>
        <v>10495090</v>
      </c>
      <c r="U112" s="20">
        <v>10498756</v>
      </c>
      <c r="V112" s="403"/>
    </row>
    <row r="113" spans="1:22" ht="14.4" x14ac:dyDescent="0.3">
      <c r="A113" s="14" t="s">
        <v>249</v>
      </c>
      <c r="B113" s="485"/>
      <c r="C113" s="37" t="s">
        <v>250</v>
      </c>
      <c r="D113" s="102" t="s">
        <v>25</v>
      </c>
      <c r="E113" s="124">
        <v>126.28</v>
      </c>
      <c r="F113" s="148">
        <v>129093</v>
      </c>
      <c r="G113" s="149">
        <v>16301864</v>
      </c>
      <c r="H113" s="131">
        <v>129089</v>
      </c>
      <c r="I113" s="16">
        <f t="shared" si="43"/>
        <v>16301359</v>
      </c>
      <c r="J113" s="22">
        <v>0</v>
      </c>
      <c r="K113" s="23">
        <v>0</v>
      </c>
      <c r="L113" s="345">
        <f t="shared" si="44"/>
        <v>0</v>
      </c>
      <c r="M113" s="22">
        <v>0</v>
      </c>
      <c r="N113" s="23">
        <v>0</v>
      </c>
      <c r="O113" s="19">
        <f t="shared" si="39"/>
        <v>0</v>
      </c>
      <c r="P113" s="17">
        <v>0</v>
      </c>
      <c r="Q113" s="358">
        <v>0</v>
      </c>
      <c r="R113" s="19">
        <f t="shared" si="40"/>
        <v>0</v>
      </c>
      <c r="S113" s="259">
        <f t="shared" si="46"/>
        <v>126.28</v>
      </c>
      <c r="T113" s="20">
        <f t="shared" si="45"/>
        <v>16301359</v>
      </c>
      <c r="U113" s="20">
        <v>16301360</v>
      </c>
      <c r="V113" s="403"/>
    </row>
    <row r="114" spans="1:22" ht="26.4" customHeight="1" x14ac:dyDescent="0.3">
      <c r="A114" s="14" t="s">
        <v>251</v>
      </c>
      <c r="B114" s="485"/>
      <c r="C114" s="37" t="s">
        <v>252</v>
      </c>
      <c r="D114" s="102" t="s">
        <v>25</v>
      </c>
      <c r="E114" s="124">
        <v>149.24</v>
      </c>
      <c r="F114" s="148">
        <v>114850</v>
      </c>
      <c r="G114" s="149">
        <v>17140214</v>
      </c>
      <c r="H114" s="131">
        <v>114847</v>
      </c>
      <c r="I114" s="16">
        <f t="shared" si="43"/>
        <v>17139766</v>
      </c>
      <c r="J114" s="22">
        <v>0</v>
      </c>
      <c r="K114" s="372">
        <v>-22.96</v>
      </c>
      <c r="L114" s="345">
        <f t="shared" si="44"/>
        <v>-2636887</v>
      </c>
      <c r="M114" s="22">
        <v>0</v>
      </c>
      <c r="N114" s="23">
        <v>0</v>
      </c>
      <c r="O114" s="19">
        <f t="shared" si="39"/>
        <v>0</v>
      </c>
      <c r="P114" s="381">
        <v>20.329999999999998</v>
      </c>
      <c r="Q114" s="358">
        <v>0</v>
      </c>
      <c r="R114" s="19">
        <f t="shared" si="40"/>
        <v>2334840</v>
      </c>
      <c r="S114" s="259">
        <f t="shared" si="46"/>
        <v>146.61000000000001</v>
      </c>
      <c r="T114" s="20">
        <f t="shared" si="45"/>
        <v>16837719</v>
      </c>
      <c r="U114" s="20">
        <v>9818270</v>
      </c>
      <c r="V114" s="403"/>
    </row>
    <row r="115" spans="1:22" ht="36" customHeight="1" x14ac:dyDescent="0.3">
      <c r="A115" s="14" t="s">
        <v>253</v>
      </c>
      <c r="B115" s="485"/>
      <c r="C115" s="37" t="s">
        <v>254</v>
      </c>
      <c r="D115" s="102" t="s">
        <v>25</v>
      </c>
      <c r="E115" s="121">
        <v>103.32</v>
      </c>
      <c r="F115" s="142">
        <v>221710</v>
      </c>
      <c r="G115" s="143">
        <v>22907077</v>
      </c>
      <c r="H115" s="131">
        <v>221706</v>
      </c>
      <c r="I115" s="16">
        <f t="shared" si="43"/>
        <v>22906664</v>
      </c>
      <c r="J115" s="22">
        <v>0</v>
      </c>
      <c r="K115" s="23">
        <v>0</v>
      </c>
      <c r="L115" s="345">
        <f t="shared" si="44"/>
        <v>0</v>
      </c>
      <c r="M115" s="22">
        <v>0</v>
      </c>
      <c r="N115" s="23">
        <v>0</v>
      </c>
      <c r="O115" s="19">
        <f t="shared" si="39"/>
        <v>0</v>
      </c>
      <c r="P115" s="17">
        <v>0</v>
      </c>
      <c r="Q115" s="358">
        <v>0</v>
      </c>
      <c r="R115" s="19">
        <f t="shared" si="40"/>
        <v>0</v>
      </c>
      <c r="S115" s="259">
        <f t="shared" si="46"/>
        <v>103.32</v>
      </c>
      <c r="T115" s="20">
        <f t="shared" si="45"/>
        <v>22906664</v>
      </c>
      <c r="U115" s="20">
        <v>22906665</v>
      </c>
      <c r="V115" s="403"/>
    </row>
    <row r="116" spans="1:22" ht="14.4" x14ac:dyDescent="0.3">
      <c r="A116" s="14" t="s">
        <v>255</v>
      </c>
      <c r="B116" s="486"/>
      <c r="C116" s="37" t="s">
        <v>256</v>
      </c>
      <c r="D116" s="102" t="s">
        <v>25</v>
      </c>
      <c r="E116" s="122">
        <v>149.24</v>
      </c>
      <c r="F116" s="144">
        <v>151978</v>
      </c>
      <c r="G116" s="145">
        <v>22681197</v>
      </c>
      <c r="H116" s="131">
        <v>151974</v>
      </c>
      <c r="I116" s="16">
        <f t="shared" si="43"/>
        <v>22680600</v>
      </c>
      <c r="J116" s="22">
        <v>0</v>
      </c>
      <c r="K116" s="23">
        <v>0</v>
      </c>
      <c r="L116" s="345">
        <f t="shared" si="44"/>
        <v>0</v>
      </c>
      <c r="M116" s="22">
        <v>0</v>
      </c>
      <c r="N116" s="23">
        <v>0</v>
      </c>
      <c r="O116" s="19">
        <f t="shared" si="39"/>
        <v>0</v>
      </c>
      <c r="P116" s="17">
        <v>0</v>
      </c>
      <c r="Q116" s="380">
        <v>-2.36</v>
      </c>
      <c r="R116" s="19">
        <f>ROUND(+P116*H116+Q116*H116,0)</f>
        <v>-358659</v>
      </c>
      <c r="S116" s="259">
        <f t="shared" si="46"/>
        <v>146.88</v>
      </c>
      <c r="T116" s="20">
        <f t="shared" si="45"/>
        <v>22321941</v>
      </c>
      <c r="U116" s="20">
        <v>22321942</v>
      </c>
      <c r="V116" s="403"/>
    </row>
    <row r="117" spans="1:22" ht="14.4" x14ac:dyDescent="0.3">
      <c r="A117" s="28" t="s">
        <v>257</v>
      </c>
      <c r="B117" s="6" t="s">
        <v>172</v>
      </c>
      <c r="C117" s="29" t="s">
        <v>258</v>
      </c>
      <c r="D117" s="6" t="s">
        <v>174</v>
      </c>
      <c r="E117" s="35"/>
      <c r="F117" s="139"/>
      <c r="G117" s="138">
        <v>550298184</v>
      </c>
      <c r="H117" s="36"/>
      <c r="I117" s="11">
        <f>SUM(I118:I126)</f>
        <v>549856956</v>
      </c>
      <c r="J117" s="476"/>
      <c r="K117" s="477"/>
      <c r="L117" s="11">
        <f>SUM(L118:L126)</f>
        <v>-72930362</v>
      </c>
      <c r="M117" s="476"/>
      <c r="N117" s="477"/>
      <c r="O117" s="11">
        <f>SUM(O118:O126)</f>
        <v>-60773361</v>
      </c>
      <c r="P117" s="348"/>
      <c r="Q117" s="348"/>
      <c r="R117" s="11">
        <f>SUM(R118:R126)</f>
        <v>4006856</v>
      </c>
      <c r="S117" s="27"/>
      <c r="T117" s="13">
        <f>SUM(T118:T126)</f>
        <v>420160091</v>
      </c>
      <c r="U117" s="13">
        <v>213553015.53696001</v>
      </c>
      <c r="V117" s="404"/>
    </row>
    <row r="118" spans="1:22" ht="14.4" x14ac:dyDescent="0.3">
      <c r="A118" s="14" t="s">
        <v>259</v>
      </c>
      <c r="B118" s="484" t="s">
        <v>172</v>
      </c>
      <c r="C118" s="15" t="s">
        <v>260</v>
      </c>
      <c r="D118" s="102" t="s">
        <v>174</v>
      </c>
      <c r="E118" s="121">
        <v>15072.02</v>
      </c>
      <c r="F118" s="142">
        <v>4600</v>
      </c>
      <c r="G118" s="143">
        <v>69331292</v>
      </c>
      <c r="H118" s="131">
        <v>4596</v>
      </c>
      <c r="I118" s="16">
        <f t="shared" ref="I118:I126" si="47">ROUND(E118*H118,0)</f>
        <v>69271004</v>
      </c>
      <c r="J118" s="22">
        <v>0</v>
      </c>
      <c r="K118" s="372">
        <v>-2998.06</v>
      </c>
      <c r="L118" s="24">
        <f t="shared" ref="L118:L126" si="48">ROUND(+J118*H118+K118*H118,0)</f>
        <v>-13779084</v>
      </c>
      <c r="M118" s="22">
        <v>0</v>
      </c>
      <c r="N118" s="23">
        <v>0</v>
      </c>
      <c r="O118" s="19">
        <f t="shared" si="39"/>
        <v>0</v>
      </c>
      <c r="P118" s="17">
        <v>0</v>
      </c>
      <c r="Q118" s="380">
        <v>0</v>
      </c>
      <c r="R118" s="19">
        <f>ROUND(+P118*H118+Q118*H118,0)</f>
        <v>0</v>
      </c>
      <c r="S118" s="259">
        <f t="shared" si="46"/>
        <v>12073.960000000001</v>
      </c>
      <c r="T118" s="20">
        <f t="shared" ref="T118:T126" si="49">ROUND(H118*S118,0)</f>
        <v>55491920</v>
      </c>
      <c r="U118" s="20">
        <v>29411091.52</v>
      </c>
      <c r="V118" s="403"/>
    </row>
    <row r="119" spans="1:22" ht="14.4" x14ac:dyDescent="0.3">
      <c r="A119" s="14" t="s">
        <v>261</v>
      </c>
      <c r="B119" s="485"/>
      <c r="C119" s="15" t="s">
        <v>262</v>
      </c>
      <c r="D119" s="102" t="s">
        <v>174</v>
      </c>
      <c r="E119" s="121">
        <v>12084.34</v>
      </c>
      <c r="F119" s="142">
        <v>4600</v>
      </c>
      <c r="G119" s="143">
        <v>55587964</v>
      </c>
      <c r="H119" s="131">
        <v>4596</v>
      </c>
      <c r="I119" s="16">
        <f t="shared" si="47"/>
        <v>55539627</v>
      </c>
      <c r="J119" s="22">
        <v>0</v>
      </c>
      <c r="K119" s="23">
        <v>0</v>
      </c>
      <c r="L119" s="24">
        <f t="shared" si="48"/>
        <v>0</v>
      </c>
      <c r="M119" s="22">
        <v>0</v>
      </c>
      <c r="N119" s="23">
        <v>0</v>
      </c>
      <c r="O119" s="19">
        <f t="shared" si="39"/>
        <v>0</v>
      </c>
      <c r="P119" s="17">
        <v>0</v>
      </c>
      <c r="Q119" s="358">
        <v>0</v>
      </c>
      <c r="R119" s="19">
        <f t="shared" ref="R119:R126" si="50">ROUND(+P119*H119+Q119*H119,0)</f>
        <v>0</v>
      </c>
      <c r="S119" s="259">
        <f t="shared" si="46"/>
        <v>12084.34</v>
      </c>
      <c r="T119" s="20">
        <f t="shared" si="49"/>
        <v>55539627</v>
      </c>
      <c r="U119" s="20">
        <v>0</v>
      </c>
      <c r="V119" s="403"/>
    </row>
    <row r="120" spans="1:22" ht="15" customHeight="1" x14ac:dyDescent="0.3">
      <c r="A120" s="14" t="s">
        <v>263</v>
      </c>
      <c r="B120" s="485"/>
      <c r="C120" s="38" t="s">
        <v>264</v>
      </c>
      <c r="D120" s="39" t="s">
        <v>174</v>
      </c>
      <c r="E120" s="121">
        <v>13249.880000000001</v>
      </c>
      <c r="F120" s="142">
        <v>4600</v>
      </c>
      <c r="G120" s="143">
        <v>60949448.000000007</v>
      </c>
      <c r="H120" s="131">
        <v>4596</v>
      </c>
      <c r="I120" s="16">
        <f t="shared" si="47"/>
        <v>60896448</v>
      </c>
      <c r="J120" s="22">
        <v>0</v>
      </c>
      <c r="K120" s="23">
        <v>0</v>
      </c>
      <c r="L120" s="24">
        <f t="shared" si="48"/>
        <v>0</v>
      </c>
      <c r="M120" s="22">
        <v>0</v>
      </c>
      <c r="N120" s="372">
        <f>-(5*999.356)</f>
        <v>-4996.78</v>
      </c>
      <c r="O120" s="19">
        <f t="shared" si="39"/>
        <v>-22965201</v>
      </c>
      <c r="P120" s="17">
        <v>0</v>
      </c>
      <c r="Q120" s="380">
        <v>-2230.6</v>
      </c>
      <c r="R120" s="19">
        <f t="shared" si="50"/>
        <v>-10251838</v>
      </c>
      <c r="S120" s="259">
        <f t="shared" si="46"/>
        <v>6022.5000000000018</v>
      </c>
      <c r="T120" s="20">
        <f t="shared" si="49"/>
        <v>27679410</v>
      </c>
      <c r="U120" s="20">
        <v>308759.27999999997</v>
      </c>
      <c r="V120" s="403"/>
    </row>
    <row r="121" spans="1:22" ht="14.4" x14ac:dyDescent="0.3">
      <c r="A121" s="14" t="s">
        <v>265</v>
      </c>
      <c r="B121" s="485"/>
      <c r="C121" s="37" t="s">
        <v>266</v>
      </c>
      <c r="D121" s="39" t="s">
        <v>174</v>
      </c>
      <c r="E121" s="121">
        <v>18733.68</v>
      </c>
      <c r="F121" s="142">
        <v>4600</v>
      </c>
      <c r="G121" s="143">
        <v>86174928</v>
      </c>
      <c r="H121" s="131">
        <v>4596</v>
      </c>
      <c r="I121" s="16">
        <f t="shared" si="47"/>
        <v>86099993</v>
      </c>
      <c r="J121" s="22">
        <v>0</v>
      </c>
      <c r="K121" s="372">
        <v>-3997.42</v>
      </c>
      <c r="L121" s="24">
        <f t="shared" si="48"/>
        <v>-18372142</v>
      </c>
      <c r="M121" s="22">
        <v>0</v>
      </c>
      <c r="N121" s="372">
        <f>-(7*999.356)+3997.4+318.24</f>
        <v>-2679.8519999999999</v>
      </c>
      <c r="O121" s="19">
        <f t="shared" si="39"/>
        <v>-12316600</v>
      </c>
      <c r="P121" s="17">
        <v>0</v>
      </c>
      <c r="Q121" s="380">
        <v>0</v>
      </c>
      <c r="R121" s="19">
        <f t="shared" si="50"/>
        <v>0</v>
      </c>
      <c r="S121" s="259">
        <f t="shared" si="46"/>
        <v>12056.407999999999</v>
      </c>
      <c r="T121" s="20">
        <f t="shared" si="49"/>
        <v>55411251</v>
      </c>
      <c r="U121" s="20">
        <v>1882622.3600000003</v>
      </c>
      <c r="V121" s="403"/>
    </row>
    <row r="122" spans="1:22" ht="15" customHeight="1" x14ac:dyDescent="0.3">
      <c r="A122" s="14" t="s">
        <v>267</v>
      </c>
      <c r="B122" s="485"/>
      <c r="C122" s="15" t="s">
        <v>268</v>
      </c>
      <c r="D122" s="102" t="s">
        <v>174</v>
      </c>
      <c r="E122" s="124">
        <v>11870.38</v>
      </c>
      <c r="F122" s="148">
        <v>4600</v>
      </c>
      <c r="G122" s="149">
        <v>54603748</v>
      </c>
      <c r="H122" s="131">
        <v>4596</v>
      </c>
      <c r="I122" s="16">
        <f t="shared" si="47"/>
        <v>54556266</v>
      </c>
      <c r="J122" s="22">
        <v>0</v>
      </c>
      <c r="K122" s="372">
        <f>-'[7]DEVOLUCION CHADO '!$I$30</f>
        <v>-6873.6</v>
      </c>
      <c r="L122" s="24">
        <f t="shared" si="48"/>
        <v>-31591066</v>
      </c>
      <c r="M122" s="22">
        <v>0</v>
      </c>
      <c r="N122" s="23">
        <v>0</v>
      </c>
      <c r="O122" s="19">
        <f t="shared" si="39"/>
        <v>0</v>
      </c>
      <c r="P122" s="381">
        <v>877.5</v>
      </c>
      <c r="Q122" s="358">
        <v>0</v>
      </c>
      <c r="R122" s="19">
        <f t="shared" si="50"/>
        <v>4032990</v>
      </c>
      <c r="S122" s="259">
        <f t="shared" si="46"/>
        <v>5874.2799999999988</v>
      </c>
      <c r="T122" s="20">
        <f t="shared" si="49"/>
        <v>26998191</v>
      </c>
      <c r="U122" s="20">
        <v>26998053</v>
      </c>
      <c r="V122" s="403"/>
    </row>
    <row r="123" spans="1:22" ht="15" customHeight="1" x14ac:dyDescent="0.3">
      <c r="A123" s="14" t="s">
        <v>269</v>
      </c>
      <c r="B123" s="485"/>
      <c r="C123" s="15" t="s">
        <v>270</v>
      </c>
      <c r="D123" s="102" t="s">
        <v>174</v>
      </c>
      <c r="E123" s="124">
        <v>11326.66</v>
      </c>
      <c r="F123" s="148">
        <v>4600</v>
      </c>
      <c r="G123" s="149">
        <v>52102636</v>
      </c>
      <c r="H123" s="131">
        <v>4596</v>
      </c>
      <c r="I123" s="16">
        <f t="shared" si="47"/>
        <v>52057329</v>
      </c>
      <c r="J123" s="22">
        <v>0</v>
      </c>
      <c r="K123" s="23">
        <v>0</v>
      </c>
      <c r="L123" s="24">
        <f t="shared" si="48"/>
        <v>0</v>
      </c>
      <c r="M123" s="22">
        <v>0</v>
      </c>
      <c r="N123" s="23">
        <v>0</v>
      </c>
      <c r="O123" s="19">
        <f t="shared" si="39"/>
        <v>0</v>
      </c>
      <c r="P123" s="17">
        <v>0</v>
      </c>
      <c r="Q123" s="380">
        <v>0</v>
      </c>
      <c r="R123" s="19">
        <f t="shared" si="50"/>
        <v>0</v>
      </c>
      <c r="S123" s="259">
        <f t="shared" si="46"/>
        <v>11326.66</v>
      </c>
      <c r="T123" s="20">
        <f t="shared" si="49"/>
        <v>52057329</v>
      </c>
      <c r="U123" s="20">
        <v>45796099.496959999</v>
      </c>
      <c r="V123" s="403"/>
    </row>
    <row r="124" spans="1:22" ht="14.4" x14ac:dyDescent="0.3">
      <c r="A124" s="14" t="s">
        <v>271</v>
      </c>
      <c r="B124" s="485"/>
      <c r="C124" s="15" t="s">
        <v>272</v>
      </c>
      <c r="D124" s="102" t="s">
        <v>174</v>
      </c>
      <c r="E124" s="124">
        <v>13503.24</v>
      </c>
      <c r="F124" s="148">
        <v>4600</v>
      </c>
      <c r="G124" s="149">
        <v>62114904</v>
      </c>
      <c r="H124" s="131">
        <v>4597</v>
      </c>
      <c r="I124" s="16">
        <f t="shared" si="47"/>
        <v>62074394</v>
      </c>
      <c r="J124" s="22">
        <v>0</v>
      </c>
      <c r="K124" s="372">
        <v>-1998.71</v>
      </c>
      <c r="L124" s="24">
        <f t="shared" si="48"/>
        <v>-9188070</v>
      </c>
      <c r="M124" s="22">
        <v>0</v>
      </c>
      <c r="N124" s="372">
        <v>-2509</v>
      </c>
      <c r="O124" s="19">
        <f t="shared" si="39"/>
        <v>-11533873</v>
      </c>
      <c r="P124" s="381">
        <v>1470.23</v>
      </c>
      <c r="Q124" s="358">
        <v>0</v>
      </c>
      <c r="R124" s="19">
        <f t="shared" si="50"/>
        <v>6758647</v>
      </c>
      <c r="S124" s="259">
        <f t="shared" si="46"/>
        <v>10465.759999999998</v>
      </c>
      <c r="T124" s="20">
        <f t="shared" si="49"/>
        <v>48111099</v>
      </c>
      <c r="U124" s="20">
        <v>23892310.310000002</v>
      </c>
      <c r="V124" s="403"/>
    </row>
    <row r="125" spans="1:22" ht="14.4" x14ac:dyDescent="0.3">
      <c r="A125" s="14" t="s">
        <v>273</v>
      </c>
      <c r="B125" s="485"/>
      <c r="C125" s="25" t="s">
        <v>274</v>
      </c>
      <c r="D125" s="102" t="s">
        <v>174</v>
      </c>
      <c r="E125" s="124">
        <v>9811.44</v>
      </c>
      <c r="F125" s="148">
        <v>4600</v>
      </c>
      <c r="G125" s="149">
        <v>45132624</v>
      </c>
      <c r="H125" s="131">
        <v>4597</v>
      </c>
      <c r="I125" s="16">
        <f t="shared" si="47"/>
        <v>45103190</v>
      </c>
      <c r="J125" s="22">
        <v>0</v>
      </c>
      <c r="K125" s="23">
        <v>0</v>
      </c>
      <c r="L125" s="24">
        <f t="shared" si="48"/>
        <v>0</v>
      </c>
      <c r="M125" s="22">
        <v>0</v>
      </c>
      <c r="N125" s="372">
        <v>-4.25</v>
      </c>
      <c r="O125" s="19">
        <f t="shared" si="39"/>
        <v>-19537</v>
      </c>
      <c r="P125" s="17">
        <v>0</v>
      </c>
      <c r="Q125" s="358">
        <v>0</v>
      </c>
      <c r="R125" s="19">
        <f t="shared" si="50"/>
        <v>0</v>
      </c>
      <c r="S125" s="259">
        <f t="shared" si="46"/>
        <v>9807.19</v>
      </c>
      <c r="T125" s="20">
        <f t="shared" si="49"/>
        <v>45083652</v>
      </c>
      <c r="U125" s="20">
        <v>46637971.57</v>
      </c>
      <c r="V125" s="403"/>
    </row>
    <row r="126" spans="1:22" ht="30.6" customHeight="1" x14ac:dyDescent="0.3">
      <c r="A126" s="14" t="s">
        <v>275</v>
      </c>
      <c r="B126" s="486"/>
      <c r="C126" s="15" t="s">
        <v>276</v>
      </c>
      <c r="D126" s="102" t="s">
        <v>174</v>
      </c>
      <c r="E126" s="124">
        <v>13978.4</v>
      </c>
      <c r="F126" s="148">
        <v>4600</v>
      </c>
      <c r="G126" s="149">
        <v>64300640</v>
      </c>
      <c r="H126" s="131">
        <v>4597</v>
      </c>
      <c r="I126" s="16">
        <f t="shared" si="47"/>
        <v>64258705</v>
      </c>
      <c r="J126" s="22">
        <v>0</v>
      </c>
      <c r="K126" s="23">
        <v>0</v>
      </c>
      <c r="L126" s="24">
        <f t="shared" si="48"/>
        <v>0</v>
      </c>
      <c r="M126" s="22">
        <v>0</v>
      </c>
      <c r="N126" s="372">
        <f>-1998.72-1033.29</f>
        <v>-3032.01</v>
      </c>
      <c r="O126" s="19">
        <f t="shared" si="39"/>
        <v>-13938150</v>
      </c>
      <c r="P126" s="381">
        <v>754.2</v>
      </c>
      <c r="Q126" s="358">
        <v>0</v>
      </c>
      <c r="R126" s="19">
        <f t="shared" si="50"/>
        <v>3467057</v>
      </c>
      <c r="S126" s="259">
        <f t="shared" si="46"/>
        <v>11700.59</v>
      </c>
      <c r="T126" s="20">
        <f t="shared" si="49"/>
        <v>53787612</v>
      </c>
      <c r="U126" s="20">
        <v>38626108</v>
      </c>
      <c r="V126" s="403"/>
    </row>
    <row r="127" spans="1:22" ht="14.4" x14ac:dyDescent="0.3">
      <c r="A127" s="28" t="s">
        <v>277</v>
      </c>
      <c r="B127" s="6" t="s">
        <v>278</v>
      </c>
      <c r="C127" s="29" t="s">
        <v>279</v>
      </c>
      <c r="D127" s="6" t="s">
        <v>25</v>
      </c>
      <c r="E127" s="35"/>
      <c r="F127" s="139"/>
      <c r="G127" s="138">
        <v>639788216</v>
      </c>
      <c r="H127" s="36"/>
      <c r="I127" s="11">
        <f>SUM(I128:I136)</f>
        <v>639784161</v>
      </c>
      <c r="J127" s="476"/>
      <c r="K127" s="477"/>
      <c r="L127" s="11">
        <f>SUM(L128:L136)</f>
        <v>-81822753</v>
      </c>
      <c r="M127" s="476"/>
      <c r="N127" s="477"/>
      <c r="O127" s="11">
        <f>SUM(O128:O136)</f>
        <v>-64873030</v>
      </c>
      <c r="P127" s="348"/>
      <c r="Q127" s="348"/>
      <c r="R127" s="11">
        <f>SUM(R128:R136)</f>
        <v>-777953</v>
      </c>
      <c r="S127" s="27"/>
      <c r="T127" s="13">
        <f>SUM(T128:T136)</f>
        <v>492310428</v>
      </c>
      <c r="U127" s="13">
        <v>236312658.38999999</v>
      </c>
      <c r="V127" s="404"/>
    </row>
    <row r="128" spans="1:22" ht="24.6" customHeight="1" x14ac:dyDescent="0.3">
      <c r="A128" s="14" t="s">
        <v>280</v>
      </c>
      <c r="B128" s="484" t="s">
        <v>278</v>
      </c>
      <c r="C128" s="21" t="s">
        <v>281</v>
      </c>
      <c r="D128" s="102" t="s">
        <v>25</v>
      </c>
      <c r="E128" s="121">
        <v>135.80000000000001</v>
      </c>
      <c r="F128" s="142">
        <v>570003</v>
      </c>
      <c r="G128" s="143">
        <v>77406407</v>
      </c>
      <c r="H128" s="132">
        <v>569999</v>
      </c>
      <c r="I128" s="16">
        <f t="shared" ref="I128:I136" si="51">ROUND(E128*H128,0)</f>
        <v>77405864</v>
      </c>
      <c r="J128" s="22">
        <v>0</v>
      </c>
      <c r="K128" s="369">
        <v>-27.16</v>
      </c>
      <c r="L128" s="24">
        <f t="shared" ref="L128:L136" si="52">ROUND(+J128*H128+K128*H128,0)</f>
        <v>-15481173</v>
      </c>
      <c r="M128" s="22">
        <v>0</v>
      </c>
      <c r="N128" s="23">
        <v>0</v>
      </c>
      <c r="O128" s="19">
        <f t="shared" si="39"/>
        <v>0</v>
      </c>
      <c r="P128" s="17">
        <v>0</v>
      </c>
      <c r="Q128" s="358">
        <v>0</v>
      </c>
      <c r="R128" s="19">
        <f>ROUND(+P128*H128+Q128*H128,0)</f>
        <v>0</v>
      </c>
      <c r="S128" s="259">
        <f t="shared" ref="S128:S136" si="53">+E128+J128+K128+M128+N128+P128+Q128</f>
        <v>108.64000000000001</v>
      </c>
      <c r="T128" s="20">
        <f t="shared" ref="T128:T136" si="54">ROUND(H128*S128,0)</f>
        <v>61924691</v>
      </c>
      <c r="U128" s="20">
        <v>32814842.009999998</v>
      </c>
      <c r="V128" s="403"/>
    </row>
    <row r="129" spans="1:22" ht="14.4" x14ac:dyDescent="0.3">
      <c r="A129" s="14" t="s">
        <v>282</v>
      </c>
      <c r="B129" s="485"/>
      <c r="C129" s="15" t="s">
        <v>283</v>
      </c>
      <c r="D129" s="102" t="s">
        <v>25</v>
      </c>
      <c r="E129" s="121">
        <v>106.7</v>
      </c>
      <c r="F129" s="142">
        <v>665936</v>
      </c>
      <c r="G129" s="143">
        <v>71055371</v>
      </c>
      <c r="H129" s="132">
        <v>665932</v>
      </c>
      <c r="I129" s="16">
        <f t="shared" si="51"/>
        <v>71054944</v>
      </c>
      <c r="J129" s="22">
        <v>0</v>
      </c>
      <c r="K129" s="23">
        <v>0</v>
      </c>
      <c r="L129" s="24">
        <f t="shared" si="52"/>
        <v>0</v>
      </c>
      <c r="M129" s="22">
        <v>0</v>
      </c>
      <c r="N129" s="23">
        <v>0</v>
      </c>
      <c r="O129" s="19">
        <f t="shared" si="39"/>
        <v>0</v>
      </c>
      <c r="P129" s="17">
        <v>0</v>
      </c>
      <c r="Q129" s="358">
        <v>0</v>
      </c>
      <c r="R129" s="19">
        <f t="shared" ref="R129:R136" si="55">ROUND(+P129*H129+Q129*H129,0)</f>
        <v>0</v>
      </c>
      <c r="S129" s="259">
        <f t="shared" si="53"/>
        <v>106.7</v>
      </c>
      <c r="T129" s="20">
        <f t="shared" si="54"/>
        <v>71054944</v>
      </c>
      <c r="U129" s="20">
        <v>0</v>
      </c>
      <c r="V129" s="403"/>
    </row>
    <row r="130" spans="1:22" ht="14.4" x14ac:dyDescent="0.3">
      <c r="A130" s="14" t="s">
        <v>284</v>
      </c>
      <c r="B130" s="485"/>
      <c r="C130" s="15" t="s">
        <v>285</v>
      </c>
      <c r="D130" s="102" t="s">
        <v>25</v>
      </c>
      <c r="E130" s="121">
        <v>97</v>
      </c>
      <c r="F130" s="142">
        <v>562168</v>
      </c>
      <c r="G130" s="143">
        <v>54530296</v>
      </c>
      <c r="H130" s="132">
        <v>562164</v>
      </c>
      <c r="I130" s="16">
        <f t="shared" si="51"/>
        <v>54529908</v>
      </c>
      <c r="J130" s="22">
        <v>0</v>
      </c>
      <c r="K130" s="23">
        <v>0</v>
      </c>
      <c r="L130" s="24">
        <f t="shared" si="52"/>
        <v>0</v>
      </c>
      <c r="M130" s="22">
        <v>0</v>
      </c>
      <c r="N130" s="372">
        <f>-(5*9.7665)</f>
        <v>-48.832500000000003</v>
      </c>
      <c r="O130" s="19">
        <f t="shared" si="39"/>
        <v>-27451874</v>
      </c>
      <c r="P130" s="17">
        <v>0</v>
      </c>
      <c r="Q130" s="380">
        <v>-9.76</v>
      </c>
      <c r="R130" s="19">
        <f t="shared" si="55"/>
        <v>-5486721</v>
      </c>
      <c r="S130" s="259">
        <f t="shared" si="53"/>
        <v>38.407499999999999</v>
      </c>
      <c r="T130" s="20">
        <f t="shared" si="54"/>
        <v>21591314</v>
      </c>
      <c r="U130" s="20">
        <v>0</v>
      </c>
      <c r="V130" s="403"/>
    </row>
    <row r="131" spans="1:22" ht="14.4" x14ac:dyDescent="0.3">
      <c r="A131" s="14" t="s">
        <v>286</v>
      </c>
      <c r="B131" s="485"/>
      <c r="C131" s="15" t="s">
        <v>287</v>
      </c>
      <c r="D131" s="102" t="s">
        <v>25</v>
      </c>
      <c r="E131" s="121">
        <v>174.6</v>
      </c>
      <c r="F131" s="142">
        <v>555002</v>
      </c>
      <c r="G131" s="143">
        <v>96903349</v>
      </c>
      <c r="H131" s="132">
        <v>554998</v>
      </c>
      <c r="I131" s="16">
        <f t="shared" si="51"/>
        <v>96902651</v>
      </c>
      <c r="J131" s="22">
        <v>0</v>
      </c>
      <c r="K131" s="372">
        <v>-38</v>
      </c>
      <c r="L131" s="24">
        <f t="shared" si="52"/>
        <v>-21089924</v>
      </c>
      <c r="M131" s="22">
        <v>0</v>
      </c>
      <c r="N131" s="372">
        <f>-(7*9.76)+38+4.66</f>
        <v>-25.659999999999993</v>
      </c>
      <c r="O131" s="19">
        <f t="shared" si="39"/>
        <v>-14241249</v>
      </c>
      <c r="P131" s="17">
        <v>0</v>
      </c>
      <c r="Q131" s="380">
        <v>-5.0685435582716512</v>
      </c>
      <c r="R131" s="19">
        <f t="shared" si="55"/>
        <v>-2813032</v>
      </c>
      <c r="S131" s="259">
        <f t="shared" si="53"/>
        <v>105.87145644172834</v>
      </c>
      <c r="T131" s="20">
        <f t="shared" si="54"/>
        <v>58758447</v>
      </c>
      <c r="U131" s="20">
        <v>2802740</v>
      </c>
      <c r="V131" s="403"/>
    </row>
    <row r="132" spans="1:22" ht="14.4" x14ac:dyDescent="0.3">
      <c r="A132" s="14" t="s">
        <v>288</v>
      </c>
      <c r="B132" s="485"/>
      <c r="C132" s="15" t="s">
        <v>289</v>
      </c>
      <c r="D132" s="102" t="s">
        <v>25</v>
      </c>
      <c r="E132" s="124">
        <v>106.7</v>
      </c>
      <c r="F132" s="148">
        <v>587585</v>
      </c>
      <c r="G132" s="149">
        <v>62695320</v>
      </c>
      <c r="H132" s="132">
        <v>587581</v>
      </c>
      <c r="I132" s="16">
        <f t="shared" si="51"/>
        <v>62694893</v>
      </c>
      <c r="J132" s="22">
        <v>0</v>
      </c>
      <c r="K132" s="372">
        <f>-'[7]DEVOLUCION CHADO '!$I$32</f>
        <v>-57.91</v>
      </c>
      <c r="L132" s="24">
        <f t="shared" si="52"/>
        <v>-34026816</v>
      </c>
      <c r="M132" s="22">
        <v>0</v>
      </c>
      <c r="N132" s="23">
        <v>0</v>
      </c>
      <c r="O132" s="19">
        <f t="shared" si="39"/>
        <v>0</v>
      </c>
      <c r="P132" s="17">
        <v>0</v>
      </c>
      <c r="Q132" s="358">
        <v>0</v>
      </c>
      <c r="R132" s="19">
        <f t="shared" si="55"/>
        <v>0</v>
      </c>
      <c r="S132" s="259">
        <f t="shared" si="53"/>
        <v>48.790000000000006</v>
      </c>
      <c r="T132" s="20">
        <f t="shared" si="54"/>
        <v>28668077</v>
      </c>
      <c r="U132" s="20">
        <v>28668063</v>
      </c>
      <c r="V132" s="403"/>
    </row>
    <row r="133" spans="1:22" ht="14.4" x14ac:dyDescent="0.3">
      <c r="A133" s="14" t="s">
        <v>290</v>
      </c>
      <c r="B133" s="485"/>
      <c r="C133" s="15" t="s">
        <v>291</v>
      </c>
      <c r="D133" s="102" t="s">
        <v>25</v>
      </c>
      <c r="E133" s="124">
        <v>106.7</v>
      </c>
      <c r="F133" s="148">
        <v>596051</v>
      </c>
      <c r="G133" s="149">
        <v>63598642</v>
      </c>
      <c r="H133" s="132">
        <v>596047</v>
      </c>
      <c r="I133" s="16">
        <f t="shared" si="51"/>
        <v>63598215</v>
      </c>
      <c r="J133" s="22">
        <v>0</v>
      </c>
      <c r="K133" s="23">
        <v>0</v>
      </c>
      <c r="L133" s="24">
        <f t="shared" si="52"/>
        <v>0</v>
      </c>
      <c r="M133" s="22">
        <v>0</v>
      </c>
      <c r="N133" s="23">
        <v>0</v>
      </c>
      <c r="O133" s="19">
        <f t="shared" si="39"/>
        <v>0</v>
      </c>
      <c r="P133" s="17">
        <v>0</v>
      </c>
      <c r="Q133" s="358">
        <v>0</v>
      </c>
      <c r="R133" s="19">
        <f t="shared" si="55"/>
        <v>0</v>
      </c>
      <c r="S133" s="259">
        <f t="shared" si="53"/>
        <v>106.7</v>
      </c>
      <c r="T133" s="20">
        <f t="shared" si="54"/>
        <v>63598215</v>
      </c>
      <c r="U133" s="20">
        <v>22155067.379999999</v>
      </c>
      <c r="V133" s="403"/>
    </row>
    <row r="134" spans="1:22" ht="27.6" x14ac:dyDescent="0.3">
      <c r="A134" s="14" t="s">
        <v>292</v>
      </c>
      <c r="B134" s="485"/>
      <c r="C134" s="15" t="s">
        <v>293</v>
      </c>
      <c r="D134" s="102" t="s">
        <v>25</v>
      </c>
      <c r="E134" s="122">
        <v>126.1</v>
      </c>
      <c r="F134" s="144">
        <v>578603</v>
      </c>
      <c r="G134" s="145">
        <v>72961838</v>
      </c>
      <c r="H134" s="132">
        <v>578600</v>
      </c>
      <c r="I134" s="16">
        <f t="shared" si="51"/>
        <v>72961460</v>
      </c>
      <c r="J134" s="22">
        <v>0</v>
      </c>
      <c r="K134" s="369">
        <v>-19.399999999999999</v>
      </c>
      <c r="L134" s="24">
        <f t="shared" si="52"/>
        <v>-11224840</v>
      </c>
      <c r="M134" s="22">
        <v>0</v>
      </c>
      <c r="N134" s="372">
        <v>-20</v>
      </c>
      <c r="O134" s="19">
        <f t="shared" si="39"/>
        <v>-11572000</v>
      </c>
      <c r="P134" s="381">
        <v>13</v>
      </c>
      <c r="Q134" s="358">
        <v>0</v>
      </c>
      <c r="R134" s="19">
        <f t="shared" si="55"/>
        <v>7521800</v>
      </c>
      <c r="S134" s="259">
        <f t="shared" si="53"/>
        <v>99.699999999999989</v>
      </c>
      <c r="T134" s="20">
        <f t="shared" si="54"/>
        <v>57686420</v>
      </c>
      <c r="U134" s="20">
        <v>29543316</v>
      </c>
      <c r="V134" s="403"/>
    </row>
    <row r="135" spans="1:22" ht="27.6" x14ac:dyDescent="0.3">
      <c r="A135" s="14" t="s">
        <v>294</v>
      </c>
      <c r="B135" s="485"/>
      <c r="C135" s="15" t="s">
        <v>295</v>
      </c>
      <c r="D135" s="102" t="s">
        <v>25</v>
      </c>
      <c r="E135" s="122">
        <v>87.3</v>
      </c>
      <c r="F135" s="144">
        <v>709506</v>
      </c>
      <c r="G135" s="145">
        <v>61939874</v>
      </c>
      <c r="H135" s="132">
        <v>709503</v>
      </c>
      <c r="I135" s="16">
        <f t="shared" si="51"/>
        <v>61939612</v>
      </c>
      <c r="J135" s="22">
        <v>0</v>
      </c>
      <c r="K135" s="23">
        <v>0</v>
      </c>
      <c r="L135" s="24">
        <f t="shared" si="52"/>
        <v>0</v>
      </c>
      <c r="M135" s="22">
        <v>0</v>
      </c>
      <c r="N135" s="23">
        <v>0</v>
      </c>
      <c r="O135" s="19">
        <f t="shared" si="39"/>
        <v>0</v>
      </c>
      <c r="P135" s="17">
        <v>0</v>
      </c>
      <c r="Q135" s="358">
        <v>0</v>
      </c>
      <c r="R135" s="19">
        <f t="shared" si="55"/>
        <v>0</v>
      </c>
      <c r="S135" s="259">
        <f t="shared" si="53"/>
        <v>87.3</v>
      </c>
      <c r="T135" s="20">
        <f t="shared" si="54"/>
        <v>61939612</v>
      </c>
      <c r="U135" s="20">
        <v>61939612</v>
      </c>
      <c r="V135" s="403"/>
    </row>
    <row r="136" spans="1:22" ht="14.4" x14ac:dyDescent="0.3">
      <c r="A136" s="14" t="s">
        <v>296</v>
      </c>
      <c r="B136" s="486"/>
      <c r="C136" s="15" t="s">
        <v>297</v>
      </c>
      <c r="D136" s="102" t="s">
        <v>25</v>
      </c>
      <c r="E136" s="122">
        <v>126.1</v>
      </c>
      <c r="F136" s="144">
        <v>624085</v>
      </c>
      <c r="G136" s="145">
        <v>78697119</v>
      </c>
      <c r="H136" s="132">
        <v>624081</v>
      </c>
      <c r="I136" s="16">
        <f t="shared" si="51"/>
        <v>78696614</v>
      </c>
      <c r="J136" s="22">
        <v>0</v>
      </c>
      <c r="K136" s="23">
        <v>0</v>
      </c>
      <c r="L136" s="24">
        <f t="shared" si="52"/>
        <v>0</v>
      </c>
      <c r="M136" s="22">
        <v>0</v>
      </c>
      <c r="N136" s="372">
        <v>-18.600000000000001</v>
      </c>
      <c r="O136" s="19">
        <f t="shared" si="39"/>
        <v>-11607907</v>
      </c>
      <c r="P136" s="17">
        <v>0</v>
      </c>
      <c r="Q136" s="358">
        <v>0</v>
      </c>
      <c r="R136" s="19">
        <f t="shared" si="55"/>
        <v>0</v>
      </c>
      <c r="S136" s="259">
        <f t="shared" si="53"/>
        <v>107.5</v>
      </c>
      <c r="T136" s="20">
        <f t="shared" si="54"/>
        <v>67088708</v>
      </c>
      <c r="U136" s="20">
        <v>58389018</v>
      </c>
      <c r="V136" s="403"/>
    </row>
    <row r="137" spans="1:22" ht="28.5" customHeight="1" x14ac:dyDescent="0.3">
      <c r="A137" s="5" t="s">
        <v>298</v>
      </c>
      <c r="B137" s="40" t="s">
        <v>299</v>
      </c>
      <c r="C137" s="34" t="s">
        <v>300</v>
      </c>
      <c r="D137" s="40" t="s">
        <v>152</v>
      </c>
      <c r="E137" s="35"/>
      <c r="F137" s="154"/>
      <c r="G137" s="138">
        <v>392981078</v>
      </c>
      <c r="H137" s="36"/>
      <c r="I137" s="11">
        <f>SUM(I138:I146)</f>
        <v>392978124</v>
      </c>
      <c r="J137" s="476"/>
      <c r="K137" s="477"/>
      <c r="L137" s="11">
        <f>SUM(L138:L146)</f>
        <v>-51790688</v>
      </c>
      <c r="M137" s="476"/>
      <c r="N137" s="477"/>
      <c r="O137" s="11">
        <f>SUM(O138:O146)</f>
        <v>-58465487</v>
      </c>
      <c r="P137" s="348"/>
      <c r="Q137" s="348"/>
      <c r="R137" s="11">
        <f>SUM(R138:R146)</f>
        <v>-2642821</v>
      </c>
      <c r="S137" s="27"/>
      <c r="T137" s="13">
        <f>SUM(T138:T146)</f>
        <v>280079128</v>
      </c>
      <c r="U137" s="13">
        <v>171096152</v>
      </c>
      <c r="V137" s="404"/>
    </row>
    <row r="138" spans="1:22" ht="30" customHeight="1" x14ac:dyDescent="0.3">
      <c r="A138" s="14" t="s">
        <v>301</v>
      </c>
      <c r="B138" s="484" t="s">
        <v>299</v>
      </c>
      <c r="C138" s="37" t="s">
        <v>302</v>
      </c>
      <c r="D138" s="102" t="s">
        <v>152</v>
      </c>
      <c r="E138" s="121">
        <v>98</v>
      </c>
      <c r="F138" s="142">
        <v>507056</v>
      </c>
      <c r="G138" s="143">
        <v>49691488</v>
      </c>
      <c r="H138" s="132">
        <v>507052</v>
      </c>
      <c r="I138" s="16">
        <f t="shared" ref="I138:I146" si="56">ROUND(E138*H138,0)</f>
        <v>49691096</v>
      </c>
      <c r="J138" s="22">
        <v>0</v>
      </c>
      <c r="K138" s="372">
        <v>-18</v>
      </c>
      <c r="L138" s="24">
        <f t="shared" ref="L138:L146" si="57">ROUND(+J138*H138+K138*H138,0)</f>
        <v>-9126936</v>
      </c>
      <c r="M138" s="22">
        <v>0</v>
      </c>
      <c r="N138" s="372">
        <v>-8</v>
      </c>
      <c r="O138" s="19">
        <f t="shared" si="39"/>
        <v>-4056416</v>
      </c>
      <c r="P138" s="17">
        <v>0</v>
      </c>
      <c r="Q138" s="380">
        <v>0</v>
      </c>
      <c r="R138" s="19">
        <f>ROUND(+P138*H138+Q138*H138,0)</f>
        <v>0</v>
      </c>
      <c r="S138" s="259">
        <f t="shared" ref="S138:S146" si="58">+E138+J138+K138+M138+N138+P138+Q138</f>
        <v>72</v>
      </c>
      <c r="T138" s="20">
        <f t="shared" ref="T138:T146" si="59">ROUND(H138*S138,0)</f>
        <v>36507744</v>
      </c>
      <c r="U138" s="20">
        <v>24338496</v>
      </c>
      <c r="V138" s="403"/>
    </row>
    <row r="139" spans="1:22" ht="30" customHeight="1" x14ac:dyDescent="0.3">
      <c r="A139" s="14" t="s">
        <v>303</v>
      </c>
      <c r="B139" s="485"/>
      <c r="C139" s="37" t="s">
        <v>304</v>
      </c>
      <c r="D139" s="103" t="s">
        <v>152</v>
      </c>
      <c r="E139" s="120">
        <v>77</v>
      </c>
      <c r="F139" s="140">
        <v>517401</v>
      </c>
      <c r="G139" s="141">
        <v>39839877</v>
      </c>
      <c r="H139" s="132">
        <v>517397</v>
      </c>
      <c r="I139" s="16">
        <f t="shared" si="56"/>
        <v>39839569</v>
      </c>
      <c r="J139" s="22">
        <v>0</v>
      </c>
      <c r="K139" s="23">
        <v>0</v>
      </c>
      <c r="L139" s="24">
        <f t="shared" si="57"/>
        <v>0</v>
      </c>
      <c r="M139" s="22">
        <v>0</v>
      </c>
      <c r="N139" s="23">
        <v>0</v>
      </c>
      <c r="O139" s="19">
        <f t="shared" si="39"/>
        <v>0</v>
      </c>
      <c r="P139" s="17">
        <v>0</v>
      </c>
      <c r="Q139" s="380">
        <v>-11</v>
      </c>
      <c r="R139" s="19">
        <f t="shared" ref="R139:R146" si="60">ROUND(+P139*H139+Q139*H139,0)</f>
        <v>-5691367</v>
      </c>
      <c r="S139" s="259">
        <f t="shared" si="58"/>
        <v>66</v>
      </c>
      <c r="T139" s="20">
        <f t="shared" si="59"/>
        <v>34148202</v>
      </c>
      <c r="U139" s="20">
        <v>0</v>
      </c>
      <c r="V139" s="403"/>
    </row>
    <row r="140" spans="1:22" ht="30" customHeight="1" x14ac:dyDescent="0.3">
      <c r="A140" s="14" t="s">
        <v>305</v>
      </c>
      <c r="B140" s="485"/>
      <c r="C140" s="37" t="s">
        <v>306</v>
      </c>
      <c r="D140" s="103" t="s">
        <v>152</v>
      </c>
      <c r="E140" s="120">
        <v>70</v>
      </c>
      <c r="F140" s="140">
        <v>506286</v>
      </c>
      <c r="G140" s="141">
        <v>35440020</v>
      </c>
      <c r="H140" s="132">
        <v>506282</v>
      </c>
      <c r="I140" s="16">
        <f t="shared" si="56"/>
        <v>35439740</v>
      </c>
      <c r="J140" s="22">
        <v>0</v>
      </c>
      <c r="K140" s="23">
        <v>0</v>
      </c>
      <c r="L140" s="24">
        <f t="shared" si="57"/>
        <v>0</v>
      </c>
      <c r="M140" s="22">
        <v>0</v>
      </c>
      <c r="N140" s="372">
        <f>-(5*6)</f>
        <v>-30</v>
      </c>
      <c r="O140" s="19">
        <f t="shared" si="39"/>
        <v>-15188460</v>
      </c>
      <c r="P140" s="17">
        <v>0</v>
      </c>
      <c r="Q140" s="380">
        <v>0</v>
      </c>
      <c r="R140" s="19">
        <f t="shared" si="60"/>
        <v>0</v>
      </c>
      <c r="S140" s="259">
        <f t="shared" si="58"/>
        <v>40</v>
      </c>
      <c r="T140" s="20">
        <f t="shared" si="59"/>
        <v>20251280</v>
      </c>
      <c r="U140" s="20">
        <v>0</v>
      </c>
      <c r="V140" s="403"/>
    </row>
    <row r="141" spans="1:22" ht="30" customHeight="1" x14ac:dyDescent="0.3">
      <c r="A141" s="14" t="s">
        <v>307</v>
      </c>
      <c r="B141" s="485"/>
      <c r="C141" s="37" t="s">
        <v>308</v>
      </c>
      <c r="D141" s="103" t="s">
        <v>152</v>
      </c>
      <c r="E141" s="120">
        <v>126</v>
      </c>
      <c r="F141" s="140">
        <v>505497</v>
      </c>
      <c r="G141" s="141">
        <v>63692622</v>
      </c>
      <c r="H141" s="132">
        <v>505494</v>
      </c>
      <c r="I141" s="16">
        <f t="shared" si="56"/>
        <v>63692244</v>
      </c>
      <c r="J141" s="22">
        <v>0</v>
      </c>
      <c r="K141" s="372">
        <v>-24</v>
      </c>
      <c r="L141" s="24">
        <f t="shared" si="57"/>
        <v>-12131856</v>
      </c>
      <c r="M141" s="22">
        <v>0</v>
      </c>
      <c r="N141" s="372">
        <f>-(3*6)</f>
        <v>-18</v>
      </c>
      <c r="O141" s="19">
        <f t="shared" si="39"/>
        <v>-9098892</v>
      </c>
      <c r="P141" s="17">
        <v>0</v>
      </c>
      <c r="Q141" s="380">
        <v>0</v>
      </c>
      <c r="R141" s="19">
        <f t="shared" si="60"/>
        <v>0</v>
      </c>
      <c r="S141" s="259">
        <f>+E141+J141+K141+M141+N141+P141+Q141</f>
        <v>84</v>
      </c>
      <c r="T141" s="20">
        <f t="shared" si="59"/>
        <v>42461496</v>
      </c>
      <c r="U141" s="20">
        <v>9098892</v>
      </c>
      <c r="V141" s="403"/>
    </row>
    <row r="142" spans="1:22" ht="30" customHeight="1" x14ac:dyDescent="0.3">
      <c r="A142" s="14" t="s">
        <v>309</v>
      </c>
      <c r="B142" s="485"/>
      <c r="C142" s="37" t="s">
        <v>310</v>
      </c>
      <c r="D142" s="103" t="s">
        <v>152</v>
      </c>
      <c r="E142" s="122">
        <v>77</v>
      </c>
      <c r="F142" s="144">
        <v>509083</v>
      </c>
      <c r="G142" s="145">
        <v>39199391</v>
      </c>
      <c r="H142" s="132">
        <v>509079</v>
      </c>
      <c r="I142" s="16">
        <f t="shared" si="56"/>
        <v>39199083</v>
      </c>
      <c r="J142" s="22">
        <v>0</v>
      </c>
      <c r="K142" s="372">
        <f>-'[7]DEVOLUCION CHADO '!$I$34</f>
        <v>-47</v>
      </c>
      <c r="L142" s="24">
        <f t="shared" si="57"/>
        <v>-23926713</v>
      </c>
      <c r="M142" s="22">
        <v>0</v>
      </c>
      <c r="N142" s="23">
        <v>0</v>
      </c>
      <c r="O142" s="19">
        <f t="shared" si="39"/>
        <v>0</v>
      </c>
      <c r="P142" s="17">
        <v>0</v>
      </c>
      <c r="Q142" s="358">
        <v>0</v>
      </c>
      <c r="R142" s="19">
        <f t="shared" si="60"/>
        <v>0</v>
      </c>
      <c r="S142" s="259">
        <f t="shared" si="58"/>
        <v>30</v>
      </c>
      <c r="T142" s="20">
        <f t="shared" si="59"/>
        <v>15272370</v>
      </c>
      <c r="U142" s="20">
        <v>15272490</v>
      </c>
      <c r="V142" s="403"/>
    </row>
    <row r="143" spans="1:22" ht="30" customHeight="1" x14ac:dyDescent="0.3">
      <c r="A143" s="14" t="s">
        <v>311</v>
      </c>
      <c r="B143" s="485"/>
      <c r="C143" s="37" t="s">
        <v>312</v>
      </c>
      <c r="D143" s="102" t="s">
        <v>152</v>
      </c>
      <c r="E143" s="122">
        <v>77</v>
      </c>
      <c r="F143" s="144">
        <v>510015</v>
      </c>
      <c r="G143" s="145">
        <v>39271155</v>
      </c>
      <c r="H143" s="132">
        <v>510011</v>
      </c>
      <c r="I143" s="16">
        <f t="shared" si="56"/>
        <v>39270847</v>
      </c>
      <c r="J143" s="22">
        <v>0</v>
      </c>
      <c r="K143" s="23">
        <v>0</v>
      </c>
      <c r="L143" s="24">
        <f t="shared" si="57"/>
        <v>0</v>
      </c>
      <c r="M143" s="22">
        <v>0</v>
      </c>
      <c r="N143" s="372">
        <v>-10</v>
      </c>
      <c r="O143" s="19">
        <f t="shared" si="39"/>
        <v>-5100110</v>
      </c>
      <c r="P143" s="17">
        <v>0</v>
      </c>
      <c r="Q143" s="358">
        <v>0</v>
      </c>
      <c r="R143" s="19">
        <f t="shared" si="60"/>
        <v>0</v>
      </c>
      <c r="S143" s="259">
        <f t="shared" si="58"/>
        <v>67</v>
      </c>
      <c r="T143" s="20">
        <f t="shared" si="59"/>
        <v>34170737</v>
      </c>
      <c r="U143" s="20">
        <v>32640704</v>
      </c>
      <c r="V143" s="403"/>
    </row>
    <row r="144" spans="1:22" ht="30" customHeight="1" x14ac:dyDescent="0.3">
      <c r="A144" s="14" t="s">
        <v>313</v>
      </c>
      <c r="B144" s="485"/>
      <c r="C144" s="37" t="s">
        <v>314</v>
      </c>
      <c r="D144" s="102" t="s">
        <v>152</v>
      </c>
      <c r="E144" s="122">
        <v>91</v>
      </c>
      <c r="F144" s="144">
        <v>508095</v>
      </c>
      <c r="G144" s="145">
        <v>46236645</v>
      </c>
      <c r="H144" s="132">
        <v>508091</v>
      </c>
      <c r="I144" s="16">
        <f t="shared" si="56"/>
        <v>46236281</v>
      </c>
      <c r="J144" s="22">
        <v>0</v>
      </c>
      <c r="K144" s="372">
        <v>-13</v>
      </c>
      <c r="L144" s="24">
        <f t="shared" si="57"/>
        <v>-6605183</v>
      </c>
      <c r="M144" s="22">
        <v>0</v>
      </c>
      <c r="N144" s="372">
        <v>-24</v>
      </c>
      <c r="O144" s="19">
        <f t="shared" si="39"/>
        <v>-12194184</v>
      </c>
      <c r="P144" s="381">
        <v>6</v>
      </c>
      <c r="Q144" s="358">
        <v>0</v>
      </c>
      <c r="R144" s="19">
        <f t="shared" si="60"/>
        <v>3048546</v>
      </c>
      <c r="S144" s="259">
        <f t="shared" si="58"/>
        <v>60</v>
      </c>
      <c r="T144" s="20">
        <f t="shared" si="59"/>
        <v>30485460</v>
      </c>
      <c r="U144" s="20">
        <v>21339822</v>
      </c>
      <c r="V144" s="403"/>
    </row>
    <row r="145" spans="1:22" ht="28.2" customHeight="1" x14ac:dyDescent="0.3">
      <c r="A145" s="14" t="s">
        <v>315</v>
      </c>
      <c r="B145" s="485"/>
      <c r="C145" s="37" t="s">
        <v>316</v>
      </c>
      <c r="D145" s="102" t="s">
        <v>152</v>
      </c>
      <c r="E145" s="122">
        <v>63</v>
      </c>
      <c r="F145" s="144">
        <v>522503</v>
      </c>
      <c r="G145" s="145">
        <v>32917689</v>
      </c>
      <c r="H145" s="132">
        <v>522499</v>
      </c>
      <c r="I145" s="16">
        <f t="shared" si="56"/>
        <v>32917437</v>
      </c>
      <c r="J145" s="22">
        <v>0</v>
      </c>
      <c r="K145" s="23">
        <v>0</v>
      </c>
      <c r="L145" s="24">
        <f t="shared" si="57"/>
        <v>0</v>
      </c>
      <c r="M145" s="22">
        <v>0</v>
      </c>
      <c r="N145" s="23">
        <v>0</v>
      </c>
      <c r="O145" s="19">
        <f t="shared" si="39"/>
        <v>0</v>
      </c>
      <c r="P145" s="17">
        <v>0</v>
      </c>
      <c r="Q145" s="380">
        <v>0</v>
      </c>
      <c r="R145" s="19">
        <f t="shared" si="60"/>
        <v>0</v>
      </c>
      <c r="S145" s="259">
        <f t="shared" si="58"/>
        <v>63</v>
      </c>
      <c r="T145" s="20">
        <f t="shared" si="59"/>
        <v>32917437</v>
      </c>
      <c r="U145" s="20">
        <v>37619928</v>
      </c>
      <c r="V145" s="403"/>
    </row>
    <row r="146" spans="1:22" ht="28.2" customHeight="1" x14ac:dyDescent="0.3">
      <c r="A146" s="14" t="s">
        <v>317</v>
      </c>
      <c r="B146" s="486"/>
      <c r="C146" s="37" t="s">
        <v>318</v>
      </c>
      <c r="D146" s="102" t="s">
        <v>152</v>
      </c>
      <c r="E146" s="122">
        <v>91</v>
      </c>
      <c r="F146" s="144">
        <v>513101</v>
      </c>
      <c r="G146" s="145">
        <v>46692191</v>
      </c>
      <c r="H146" s="132">
        <v>513097</v>
      </c>
      <c r="I146" s="16">
        <f t="shared" si="56"/>
        <v>46691827</v>
      </c>
      <c r="J146" s="22">
        <v>0</v>
      </c>
      <c r="K146" s="23">
        <v>0</v>
      </c>
      <c r="L146" s="24">
        <f t="shared" si="57"/>
        <v>0</v>
      </c>
      <c r="M146" s="22">
        <v>0</v>
      </c>
      <c r="N146" s="372">
        <v>-25</v>
      </c>
      <c r="O146" s="19">
        <f t="shared" si="39"/>
        <v>-12827425</v>
      </c>
      <c r="P146" s="17">
        <v>0</v>
      </c>
      <c r="Q146" s="358">
        <v>0</v>
      </c>
      <c r="R146" s="19">
        <f t="shared" si="60"/>
        <v>0</v>
      </c>
      <c r="S146" s="259">
        <f t="shared" si="58"/>
        <v>66</v>
      </c>
      <c r="T146" s="20">
        <f t="shared" si="59"/>
        <v>33864402</v>
      </c>
      <c r="U146" s="20">
        <v>30785820</v>
      </c>
      <c r="V146" s="403"/>
    </row>
    <row r="147" spans="1:22" ht="28.2" customHeight="1" x14ac:dyDescent="0.3">
      <c r="A147" s="28" t="s">
        <v>319</v>
      </c>
      <c r="B147" s="33" t="s">
        <v>320</v>
      </c>
      <c r="C147" s="34" t="s">
        <v>321</v>
      </c>
      <c r="D147" s="6" t="s">
        <v>25</v>
      </c>
      <c r="E147" s="35"/>
      <c r="F147" s="139"/>
      <c r="G147" s="138">
        <v>36214790</v>
      </c>
      <c r="H147" s="36"/>
      <c r="I147" s="11">
        <f>SUM(I148:I156)</f>
        <v>36214520</v>
      </c>
      <c r="J147" s="476"/>
      <c r="K147" s="477"/>
      <c r="L147" s="11">
        <f>SUM(L148:L156)</f>
        <v>-14548</v>
      </c>
      <c r="M147" s="476"/>
      <c r="N147" s="477"/>
      <c r="O147" s="11">
        <f>SUM(O148:O156)</f>
        <v>12967290</v>
      </c>
      <c r="P147" s="348"/>
      <c r="Q147" s="348"/>
      <c r="R147" s="11">
        <f>SUM(R148:R156)</f>
        <v>-11345443</v>
      </c>
      <c r="S147" s="27"/>
      <c r="T147" s="13">
        <f>SUM(T148:T156)</f>
        <v>37821819</v>
      </c>
      <c r="U147" s="13">
        <v>16923768.690000005</v>
      </c>
      <c r="V147" s="404"/>
    </row>
    <row r="148" spans="1:22" ht="28.2" customHeight="1" x14ac:dyDescent="0.3">
      <c r="A148" s="14" t="s">
        <v>322</v>
      </c>
      <c r="B148" s="484" t="s">
        <v>320</v>
      </c>
      <c r="C148" s="37" t="s">
        <v>323</v>
      </c>
      <c r="D148" s="102" t="s">
        <v>25</v>
      </c>
      <c r="E148" s="120">
        <v>7.48</v>
      </c>
      <c r="F148" s="140">
        <v>514545</v>
      </c>
      <c r="G148" s="141">
        <v>3848797</v>
      </c>
      <c r="H148" s="132">
        <v>514541</v>
      </c>
      <c r="I148" s="16">
        <f t="shared" ref="I148:I156" si="61">ROUND(E148*H148,0)</f>
        <v>3848767</v>
      </c>
      <c r="J148" s="22">
        <v>0</v>
      </c>
      <c r="K148" s="23">
        <v>0</v>
      </c>
      <c r="L148" s="24">
        <f t="shared" ref="L148:L156" si="62">ROUND(+J148*H148+K148*H148,0)</f>
        <v>0</v>
      </c>
      <c r="M148" s="22">
        <v>0</v>
      </c>
      <c r="N148" s="23">
        <v>0</v>
      </c>
      <c r="O148" s="19">
        <f t="shared" si="39"/>
        <v>0</v>
      </c>
      <c r="P148" s="17">
        <v>0</v>
      </c>
      <c r="Q148" s="358">
        <v>0</v>
      </c>
      <c r="R148" s="19">
        <f>ROUND(+P148*H148+Q148*H148,0)</f>
        <v>0</v>
      </c>
      <c r="S148" s="259">
        <f t="shared" ref="S148:S156" si="63">+E148+J148+K148+M148+N148+P148+Q148</f>
        <v>7.48</v>
      </c>
      <c r="T148" s="20">
        <f t="shared" ref="T148:T156" si="64">ROUND(H148*S148,0)</f>
        <v>3848767</v>
      </c>
      <c r="U148" s="20">
        <v>0</v>
      </c>
      <c r="V148" s="403"/>
    </row>
    <row r="149" spans="1:22" ht="28.2" customHeight="1" x14ac:dyDescent="0.3">
      <c r="A149" s="14" t="s">
        <v>324</v>
      </c>
      <c r="B149" s="485"/>
      <c r="C149" s="37" t="s">
        <v>325</v>
      </c>
      <c r="D149" s="102" t="s">
        <v>25</v>
      </c>
      <c r="E149" s="122">
        <v>7.48</v>
      </c>
      <c r="F149" s="144">
        <v>613087</v>
      </c>
      <c r="G149" s="145">
        <v>4585891</v>
      </c>
      <c r="H149" s="132">
        <v>613083</v>
      </c>
      <c r="I149" s="16">
        <f t="shared" si="61"/>
        <v>4585861</v>
      </c>
      <c r="J149" s="22">
        <v>0</v>
      </c>
      <c r="K149" s="23">
        <v>0</v>
      </c>
      <c r="L149" s="24">
        <f t="shared" si="62"/>
        <v>0</v>
      </c>
      <c r="M149" s="22">
        <v>0</v>
      </c>
      <c r="N149" s="23">
        <v>0</v>
      </c>
      <c r="O149" s="19">
        <f t="shared" si="39"/>
        <v>0</v>
      </c>
      <c r="P149" s="17">
        <v>0</v>
      </c>
      <c r="Q149" s="358">
        <v>0</v>
      </c>
      <c r="R149" s="19">
        <f t="shared" ref="R149:R156" si="65">ROUND(+P149*H149+Q149*H149,0)</f>
        <v>0</v>
      </c>
      <c r="S149" s="259">
        <f t="shared" si="63"/>
        <v>7.48</v>
      </c>
      <c r="T149" s="20">
        <f t="shared" si="64"/>
        <v>4585861</v>
      </c>
      <c r="U149" s="20">
        <v>0</v>
      </c>
      <c r="V149" s="403"/>
    </row>
    <row r="150" spans="1:22" ht="28.2" customHeight="1" x14ac:dyDescent="0.3">
      <c r="A150" s="14" t="s">
        <v>326</v>
      </c>
      <c r="B150" s="485"/>
      <c r="C150" s="37" t="s">
        <v>327</v>
      </c>
      <c r="D150" s="102" t="s">
        <v>25</v>
      </c>
      <c r="E150" s="122">
        <v>29.93</v>
      </c>
      <c r="F150" s="144">
        <v>506497</v>
      </c>
      <c r="G150" s="145">
        <v>15159455</v>
      </c>
      <c r="H150" s="132">
        <v>506493</v>
      </c>
      <c r="I150" s="16">
        <f t="shared" si="61"/>
        <v>15159335</v>
      </c>
      <c r="J150" s="22">
        <v>0</v>
      </c>
      <c r="K150" s="369">
        <v>-7.4</v>
      </c>
      <c r="L150" s="345">
        <f t="shared" si="62"/>
        <v>-3748048</v>
      </c>
      <c r="M150" s="365">
        <v>8</v>
      </c>
      <c r="N150" s="23">
        <v>0</v>
      </c>
      <c r="O150" s="19">
        <f t="shared" si="39"/>
        <v>4051944</v>
      </c>
      <c r="P150" s="17">
        <v>0</v>
      </c>
      <c r="Q150" s="380">
        <v>-22.4</v>
      </c>
      <c r="R150" s="19">
        <f t="shared" si="65"/>
        <v>-11345443</v>
      </c>
      <c r="S150" s="259">
        <f t="shared" si="63"/>
        <v>8.1300000000000026</v>
      </c>
      <c r="T150" s="20">
        <f t="shared" si="64"/>
        <v>4117788</v>
      </c>
      <c r="U150" s="20">
        <v>3297269.43</v>
      </c>
      <c r="V150" s="403"/>
    </row>
    <row r="151" spans="1:22" ht="28.2" customHeight="1" x14ac:dyDescent="0.3">
      <c r="A151" s="14" t="s">
        <v>328</v>
      </c>
      <c r="B151" s="485"/>
      <c r="C151" s="37" t="s">
        <v>329</v>
      </c>
      <c r="D151" s="102" t="s">
        <v>25</v>
      </c>
      <c r="E151" s="122">
        <v>1.87</v>
      </c>
      <c r="F151" s="144">
        <v>499135</v>
      </c>
      <c r="G151" s="145">
        <v>933382</v>
      </c>
      <c r="H151" s="132">
        <v>499131</v>
      </c>
      <c r="I151" s="16">
        <f t="shared" si="61"/>
        <v>933375</v>
      </c>
      <c r="J151" s="373">
        <v>7.48</v>
      </c>
      <c r="K151" s="23">
        <v>0</v>
      </c>
      <c r="L151" s="345">
        <f t="shared" si="62"/>
        <v>3733500</v>
      </c>
      <c r="M151" s="365">
        <v>6</v>
      </c>
      <c r="N151" s="23">
        <v>0</v>
      </c>
      <c r="O151" s="19">
        <f t="shared" si="39"/>
        <v>2994786</v>
      </c>
      <c r="P151" s="17">
        <v>0</v>
      </c>
      <c r="Q151" s="358">
        <v>0</v>
      </c>
      <c r="R151" s="19">
        <f t="shared" si="65"/>
        <v>0</v>
      </c>
      <c r="S151" s="259">
        <f t="shared" si="63"/>
        <v>15.350000000000001</v>
      </c>
      <c r="T151" s="20">
        <f t="shared" si="64"/>
        <v>7661661</v>
      </c>
      <c r="U151" s="20">
        <v>0</v>
      </c>
      <c r="V151" s="403"/>
    </row>
    <row r="152" spans="1:22" ht="28.2" customHeight="1" x14ac:dyDescent="0.3">
      <c r="A152" s="14" t="s">
        <v>330</v>
      </c>
      <c r="B152" s="485"/>
      <c r="C152" s="37" t="s">
        <v>331</v>
      </c>
      <c r="D152" s="102" t="s">
        <v>25</v>
      </c>
      <c r="E152" s="122">
        <v>7.48</v>
      </c>
      <c r="F152" s="144">
        <v>532604</v>
      </c>
      <c r="G152" s="145">
        <v>3983878</v>
      </c>
      <c r="H152" s="132">
        <v>532600</v>
      </c>
      <c r="I152" s="16">
        <f t="shared" si="61"/>
        <v>3983848</v>
      </c>
      <c r="J152" s="22">
        <v>0</v>
      </c>
      <c r="K152" s="23">
        <v>0</v>
      </c>
      <c r="L152" s="345">
        <f t="shared" si="62"/>
        <v>0</v>
      </c>
      <c r="M152" s="22">
        <v>0</v>
      </c>
      <c r="N152" s="23">
        <v>0</v>
      </c>
      <c r="O152" s="19">
        <f t="shared" si="39"/>
        <v>0</v>
      </c>
      <c r="P152" s="17">
        <v>0</v>
      </c>
      <c r="Q152" s="358">
        <v>0</v>
      </c>
      <c r="R152" s="19">
        <f t="shared" si="65"/>
        <v>0</v>
      </c>
      <c r="S152" s="259">
        <f t="shared" si="63"/>
        <v>7.48</v>
      </c>
      <c r="T152" s="20">
        <f t="shared" si="64"/>
        <v>3983848</v>
      </c>
      <c r="U152" s="20">
        <v>3983848</v>
      </c>
      <c r="V152" s="403"/>
    </row>
    <row r="153" spans="1:22" ht="28.2" customHeight="1" x14ac:dyDescent="0.3">
      <c r="A153" s="14" t="s">
        <v>332</v>
      </c>
      <c r="B153" s="485"/>
      <c r="C153" s="37" t="s">
        <v>333</v>
      </c>
      <c r="D153" s="102" t="s">
        <v>25</v>
      </c>
      <c r="E153" s="122">
        <v>0</v>
      </c>
      <c r="F153" s="144">
        <v>541301</v>
      </c>
      <c r="G153" s="145">
        <v>0</v>
      </c>
      <c r="H153" s="132">
        <v>541297</v>
      </c>
      <c r="I153" s="16">
        <f t="shared" si="61"/>
        <v>0</v>
      </c>
      <c r="J153" s="22">
        <v>0</v>
      </c>
      <c r="K153" s="23">
        <v>0</v>
      </c>
      <c r="L153" s="345">
        <f t="shared" si="62"/>
        <v>0</v>
      </c>
      <c r="M153" s="22">
        <v>0</v>
      </c>
      <c r="N153" s="23">
        <v>0</v>
      </c>
      <c r="O153" s="19">
        <f t="shared" si="39"/>
        <v>0</v>
      </c>
      <c r="P153" s="17">
        <v>0</v>
      </c>
      <c r="Q153" s="358">
        <v>0</v>
      </c>
      <c r="R153" s="19">
        <f t="shared" si="65"/>
        <v>0</v>
      </c>
      <c r="S153" s="259">
        <f t="shared" si="63"/>
        <v>0</v>
      </c>
      <c r="T153" s="20">
        <f t="shared" si="64"/>
        <v>0</v>
      </c>
      <c r="U153" s="20">
        <v>0</v>
      </c>
      <c r="V153" s="403"/>
    </row>
    <row r="154" spans="1:22" ht="28.2" customHeight="1" x14ac:dyDescent="0.3">
      <c r="A154" s="14" t="s">
        <v>334</v>
      </c>
      <c r="B154" s="485"/>
      <c r="C154" s="37" t="s">
        <v>335</v>
      </c>
      <c r="D154" s="102" t="s">
        <v>25</v>
      </c>
      <c r="E154" s="122">
        <v>1.87</v>
      </c>
      <c r="F154" s="144">
        <v>523378</v>
      </c>
      <c r="G154" s="145">
        <v>978717</v>
      </c>
      <c r="H154" s="132">
        <v>523374</v>
      </c>
      <c r="I154" s="16">
        <f t="shared" si="61"/>
        <v>978709</v>
      </c>
      <c r="J154" s="22">
        <v>0</v>
      </c>
      <c r="K154" s="23">
        <v>0</v>
      </c>
      <c r="L154" s="345">
        <f t="shared" si="62"/>
        <v>0</v>
      </c>
      <c r="M154" s="22">
        <v>0</v>
      </c>
      <c r="N154" s="23">
        <v>0</v>
      </c>
      <c r="O154" s="19">
        <f t="shared" si="39"/>
        <v>0</v>
      </c>
      <c r="P154" s="17">
        <v>0</v>
      </c>
      <c r="Q154" s="358">
        <v>0</v>
      </c>
      <c r="R154" s="19">
        <f t="shared" si="65"/>
        <v>0</v>
      </c>
      <c r="S154" s="259">
        <f t="shared" si="63"/>
        <v>1.87</v>
      </c>
      <c r="T154" s="20">
        <f t="shared" si="64"/>
        <v>978709</v>
      </c>
      <c r="U154" s="20">
        <v>0</v>
      </c>
      <c r="V154" s="403"/>
    </row>
    <row r="155" spans="1:22" ht="28.2" customHeight="1" x14ac:dyDescent="0.3">
      <c r="A155" s="14" t="s">
        <v>336</v>
      </c>
      <c r="B155" s="485"/>
      <c r="C155" s="37" t="s">
        <v>337</v>
      </c>
      <c r="D155" s="102" t="s">
        <v>25</v>
      </c>
      <c r="E155" s="122">
        <v>3.74</v>
      </c>
      <c r="F155" s="144">
        <v>657844</v>
      </c>
      <c r="G155" s="145">
        <v>2460337</v>
      </c>
      <c r="H155" s="132">
        <v>657840</v>
      </c>
      <c r="I155" s="16">
        <f t="shared" si="61"/>
        <v>2460322</v>
      </c>
      <c r="J155" s="22">
        <v>0</v>
      </c>
      <c r="K155" s="23">
        <v>0</v>
      </c>
      <c r="L155" s="345">
        <f t="shared" si="62"/>
        <v>0</v>
      </c>
      <c r="M155" s="365">
        <v>9</v>
      </c>
      <c r="N155" s="23">
        <v>0</v>
      </c>
      <c r="O155" s="19">
        <f t="shared" si="39"/>
        <v>5920560</v>
      </c>
      <c r="P155" s="17">
        <v>0</v>
      </c>
      <c r="Q155" s="380">
        <v>0</v>
      </c>
      <c r="R155" s="19">
        <f t="shared" si="65"/>
        <v>0</v>
      </c>
      <c r="S155" s="259">
        <f t="shared" si="63"/>
        <v>12.74</v>
      </c>
      <c r="T155" s="20">
        <f t="shared" si="64"/>
        <v>8380882</v>
      </c>
      <c r="U155" s="20">
        <v>2460322</v>
      </c>
      <c r="V155" s="403"/>
    </row>
    <row r="156" spans="1:22" ht="28.2" customHeight="1" x14ac:dyDescent="0.3">
      <c r="A156" s="14" t="s">
        <v>338</v>
      </c>
      <c r="B156" s="486"/>
      <c r="C156" s="37" t="s">
        <v>339</v>
      </c>
      <c r="D156" s="102" t="s">
        <v>25</v>
      </c>
      <c r="E156" s="122">
        <v>7.48</v>
      </c>
      <c r="F156" s="144">
        <v>570098</v>
      </c>
      <c r="G156" s="145">
        <v>4264333</v>
      </c>
      <c r="H156" s="132">
        <v>570094</v>
      </c>
      <c r="I156" s="16">
        <f t="shared" si="61"/>
        <v>4264303</v>
      </c>
      <c r="J156" s="22">
        <v>0</v>
      </c>
      <c r="K156" s="23">
        <v>0</v>
      </c>
      <c r="L156" s="345">
        <f t="shared" si="62"/>
        <v>0</v>
      </c>
      <c r="M156" s="22">
        <v>0</v>
      </c>
      <c r="N156" s="23">
        <v>0</v>
      </c>
      <c r="O156" s="19">
        <f t="shared" si="39"/>
        <v>0</v>
      </c>
      <c r="P156" s="17">
        <v>0</v>
      </c>
      <c r="Q156" s="358">
        <v>0</v>
      </c>
      <c r="R156" s="19">
        <f t="shared" si="65"/>
        <v>0</v>
      </c>
      <c r="S156" s="259">
        <f t="shared" si="63"/>
        <v>7.48</v>
      </c>
      <c r="T156" s="20">
        <f t="shared" si="64"/>
        <v>4264303</v>
      </c>
      <c r="U156" s="20">
        <v>7182329.2600000007</v>
      </c>
      <c r="V156" s="403"/>
    </row>
    <row r="157" spans="1:22" ht="14.4" x14ac:dyDescent="0.3">
      <c r="A157" s="28" t="s">
        <v>340</v>
      </c>
      <c r="B157" s="6" t="s">
        <v>341</v>
      </c>
      <c r="C157" s="29" t="s">
        <v>342</v>
      </c>
      <c r="D157" s="6" t="s">
        <v>25</v>
      </c>
      <c r="E157" s="35"/>
      <c r="F157" s="139"/>
      <c r="G157" s="138">
        <v>191966830</v>
      </c>
      <c r="H157" s="36"/>
      <c r="I157" s="11">
        <f>SUM(I158:I166)</f>
        <v>191965112</v>
      </c>
      <c r="J157" s="476"/>
      <c r="K157" s="477"/>
      <c r="L157" s="11">
        <f>SUM(L158:L166)</f>
        <v>-6076638</v>
      </c>
      <c r="M157" s="476"/>
      <c r="N157" s="477"/>
      <c r="O157" s="11">
        <f>SUM(O158:O166)</f>
        <v>-16492122</v>
      </c>
      <c r="P157" s="348"/>
      <c r="Q157" s="348"/>
      <c r="R157" s="11">
        <f>SUM(R158:R166)</f>
        <v>-13308540</v>
      </c>
      <c r="S157" s="27"/>
      <c r="T157" s="13">
        <f>SUM(T158:T166)</f>
        <v>156087812</v>
      </c>
      <c r="U157" s="13">
        <v>96561163.019999996</v>
      </c>
      <c r="V157" s="404"/>
    </row>
    <row r="158" spans="1:22" ht="14.4" x14ac:dyDescent="0.3">
      <c r="A158" s="14" t="s">
        <v>343</v>
      </c>
      <c r="B158" s="484" t="s">
        <v>341</v>
      </c>
      <c r="C158" s="25" t="s">
        <v>344</v>
      </c>
      <c r="D158" s="102" t="s">
        <v>25</v>
      </c>
      <c r="E158" s="120">
        <v>53.27</v>
      </c>
      <c r="F158" s="140">
        <v>426740</v>
      </c>
      <c r="G158" s="141">
        <v>22733635</v>
      </c>
      <c r="H158" s="132">
        <v>426736</v>
      </c>
      <c r="I158" s="16">
        <f t="shared" ref="I158:I166" si="66">ROUND(E158*H158,0)</f>
        <v>22732227</v>
      </c>
      <c r="J158" s="22">
        <v>0</v>
      </c>
      <c r="K158" s="23">
        <v>0</v>
      </c>
      <c r="L158" s="24">
        <f t="shared" ref="L158:L166" si="67">ROUND(+J158*H158+K158*H158,0)</f>
        <v>0</v>
      </c>
      <c r="M158" s="22">
        <v>0</v>
      </c>
      <c r="N158" s="372">
        <v>-12</v>
      </c>
      <c r="O158" s="19">
        <f t="shared" si="39"/>
        <v>-5120832</v>
      </c>
      <c r="P158" s="17">
        <v>0</v>
      </c>
      <c r="Q158" s="380">
        <v>0</v>
      </c>
      <c r="R158" s="19">
        <f>ROUND(+P158*H158+Q158*H158,0)</f>
        <v>0</v>
      </c>
      <c r="S158" s="259">
        <f t="shared" ref="S158:S166" si="68">+E158+J158+K158+M158+N158+P158+Q158</f>
        <v>41.27</v>
      </c>
      <c r="T158" s="20">
        <f t="shared" ref="T158:T166" si="69">ROUND(H158*S158,0)</f>
        <v>17611395</v>
      </c>
      <c r="U158" s="20">
        <v>7259633</v>
      </c>
      <c r="V158" s="403"/>
    </row>
    <row r="159" spans="1:22" ht="14.4" x14ac:dyDescent="0.3">
      <c r="A159" s="14" t="s">
        <v>345</v>
      </c>
      <c r="B159" s="485"/>
      <c r="C159" s="25" t="s">
        <v>346</v>
      </c>
      <c r="D159" s="102" t="s">
        <v>25</v>
      </c>
      <c r="E159" s="122">
        <v>41.86</v>
      </c>
      <c r="F159" s="144">
        <v>527469</v>
      </c>
      <c r="G159" s="145">
        <v>22078375</v>
      </c>
      <c r="H159" s="132">
        <v>527352</v>
      </c>
      <c r="I159" s="16">
        <f t="shared" si="66"/>
        <v>22074955</v>
      </c>
      <c r="J159" s="22">
        <v>0</v>
      </c>
      <c r="K159" s="23">
        <v>0</v>
      </c>
      <c r="L159" s="24">
        <f t="shared" si="67"/>
        <v>0</v>
      </c>
      <c r="M159" s="22">
        <v>0</v>
      </c>
      <c r="N159" s="23">
        <v>0</v>
      </c>
      <c r="O159" s="19">
        <f t="shared" si="39"/>
        <v>0</v>
      </c>
      <c r="P159" s="17">
        <v>0</v>
      </c>
      <c r="Q159" s="358">
        <v>0</v>
      </c>
      <c r="R159" s="19">
        <f t="shared" ref="R159:R166" si="70">ROUND(+P159*H159+Q159*H159,0)</f>
        <v>0</v>
      </c>
      <c r="S159" s="259">
        <f t="shared" si="68"/>
        <v>41.86</v>
      </c>
      <c r="T159" s="20">
        <f t="shared" si="69"/>
        <v>22074955</v>
      </c>
      <c r="U159" s="20">
        <v>0</v>
      </c>
      <c r="V159" s="403"/>
    </row>
    <row r="160" spans="1:22" ht="14.4" x14ac:dyDescent="0.3">
      <c r="A160" s="14" t="s">
        <v>347</v>
      </c>
      <c r="B160" s="485"/>
      <c r="C160" s="25" t="s">
        <v>348</v>
      </c>
      <c r="D160" s="102" t="s">
        <v>25</v>
      </c>
      <c r="E160" s="122">
        <v>38.049999999999997</v>
      </c>
      <c r="F160" s="144">
        <v>419538</v>
      </c>
      <c r="G160" s="145">
        <v>15964260</v>
      </c>
      <c r="H160" s="132">
        <v>419538</v>
      </c>
      <c r="I160" s="16">
        <f t="shared" si="66"/>
        <v>15963421</v>
      </c>
      <c r="J160" s="22">
        <v>0</v>
      </c>
      <c r="K160" s="23">
        <v>0</v>
      </c>
      <c r="L160" s="24">
        <f t="shared" si="67"/>
        <v>0</v>
      </c>
      <c r="M160" s="22">
        <v>0</v>
      </c>
      <c r="N160" s="372">
        <v>-8.6999999999999993</v>
      </c>
      <c r="O160" s="19">
        <f t="shared" si="39"/>
        <v>-3649981</v>
      </c>
      <c r="P160" s="17">
        <v>0</v>
      </c>
      <c r="Q160" s="380">
        <v>-12.67</v>
      </c>
      <c r="R160" s="19">
        <f t="shared" si="70"/>
        <v>-5315546</v>
      </c>
      <c r="S160" s="259">
        <f t="shared" si="68"/>
        <v>16.68</v>
      </c>
      <c r="T160" s="20">
        <f t="shared" si="69"/>
        <v>6997894</v>
      </c>
      <c r="U160" s="20">
        <v>167815.2</v>
      </c>
      <c r="V160" s="403"/>
    </row>
    <row r="161" spans="1:22" ht="14.4" x14ac:dyDescent="0.3">
      <c r="A161" s="14" t="s">
        <v>349</v>
      </c>
      <c r="B161" s="485"/>
      <c r="C161" s="25" t="s">
        <v>350</v>
      </c>
      <c r="D161" s="102" t="s">
        <v>25</v>
      </c>
      <c r="E161" s="122">
        <v>68.489999999999995</v>
      </c>
      <c r="F161" s="144">
        <v>412014</v>
      </c>
      <c r="G161" s="145">
        <v>28220322</v>
      </c>
      <c r="H161" s="132">
        <v>412010</v>
      </c>
      <c r="I161" s="16">
        <f t="shared" si="66"/>
        <v>28218565</v>
      </c>
      <c r="J161" s="22">
        <v>0</v>
      </c>
      <c r="K161" s="23">
        <v>0</v>
      </c>
      <c r="L161" s="24">
        <f t="shared" si="67"/>
        <v>0</v>
      </c>
      <c r="M161" s="22">
        <v>0</v>
      </c>
      <c r="N161" s="372">
        <v>-14.5</v>
      </c>
      <c r="O161" s="19">
        <f t="shared" si="39"/>
        <v>-5974145</v>
      </c>
      <c r="P161" s="17">
        <v>0</v>
      </c>
      <c r="Q161" s="380">
        <v>-19.399999999999999</v>
      </c>
      <c r="R161" s="19">
        <f t="shared" si="70"/>
        <v>-7992994</v>
      </c>
      <c r="S161" s="259">
        <f t="shared" si="68"/>
        <v>34.589999999999996</v>
      </c>
      <c r="T161" s="20">
        <f t="shared" si="69"/>
        <v>14251426</v>
      </c>
      <c r="U161" s="20">
        <v>7506822.1999999993</v>
      </c>
      <c r="V161" s="403"/>
    </row>
    <row r="162" spans="1:22" ht="14.4" x14ac:dyDescent="0.3">
      <c r="A162" s="14" t="s">
        <v>351</v>
      </c>
      <c r="B162" s="485"/>
      <c r="C162" s="25" t="s">
        <v>352</v>
      </c>
      <c r="D162" s="102" t="s">
        <v>25</v>
      </c>
      <c r="E162" s="122">
        <v>41.86</v>
      </c>
      <c r="F162" s="144">
        <v>446225</v>
      </c>
      <c r="G162" s="145">
        <v>18677729</v>
      </c>
      <c r="H162" s="132">
        <v>446221</v>
      </c>
      <c r="I162" s="16">
        <f t="shared" si="66"/>
        <v>18678811</v>
      </c>
      <c r="J162" s="22">
        <v>0</v>
      </c>
      <c r="K162" s="369">
        <f>-'[7]DEVOLUCION CHADO '!$I$38</f>
        <v>-13.618</v>
      </c>
      <c r="L162" s="24">
        <f t="shared" si="67"/>
        <v>-6076638</v>
      </c>
      <c r="M162" s="22">
        <v>0</v>
      </c>
      <c r="N162" s="23">
        <v>0</v>
      </c>
      <c r="O162" s="19">
        <f t="shared" ref="O162:O166" si="71">ROUND(+M162*H162+N162*H162,0)</f>
        <v>0</v>
      </c>
      <c r="P162" s="17">
        <v>0</v>
      </c>
      <c r="Q162" s="358">
        <v>0</v>
      </c>
      <c r="R162" s="19">
        <f t="shared" si="70"/>
        <v>0</v>
      </c>
      <c r="S162" s="259">
        <f t="shared" si="68"/>
        <v>28.241999999999997</v>
      </c>
      <c r="T162" s="20">
        <f t="shared" si="69"/>
        <v>12602173</v>
      </c>
      <c r="U162" s="20">
        <v>12523182.5</v>
      </c>
      <c r="V162" s="403"/>
    </row>
    <row r="163" spans="1:22" ht="14.4" x14ac:dyDescent="0.3">
      <c r="A163" s="14" t="s">
        <v>353</v>
      </c>
      <c r="B163" s="485"/>
      <c r="C163" s="25" t="s">
        <v>354</v>
      </c>
      <c r="D163" s="102" t="s">
        <v>25</v>
      </c>
      <c r="E163" s="122">
        <v>41.86</v>
      </c>
      <c r="F163" s="144">
        <v>455114</v>
      </c>
      <c r="G163" s="145">
        <v>19049798</v>
      </c>
      <c r="H163" s="132">
        <v>455110</v>
      </c>
      <c r="I163" s="16">
        <f t="shared" si="66"/>
        <v>19050905</v>
      </c>
      <c r="J163" s="22">
        <v>0</v>
      </c>
      <c r="K163" s="23">
        <v>0</v>
      </c>
      <c r="L163" s="24">
        <f t="shared" si="67"/>
        <v>0</v>
      </c>
      <c r="M163" s="22">
        <v>0</v>
      </c>
      <c r="N163" s="23">
        <v>0</v>
      </c>
      <c r="O163" s="19">
        <f t="shared" si="71"/>
        <v>0</v>
      </c>
      <c r="P163" s="17">
        <v>0</v>
      </c>
      <c r="Q163" s="358">
        <v>0</v>
      </c>
      <c r="R163" s="19">
        <f t="shared" si="70"/>
        <v>0</v>
      </c>
      <c r="S163" s="259">
        <f t="shared" si="68"/>
        <v>41.86</v>
      </c>
      <c r="T163" s="20">
        <f t="shared" si="69"/>
        <v>19050905</v>
      </c>
      <c r="U163" s="20">
        <v>23984297.399999999</v>
      </c>
      <c r="V163" s="403"/>
    </row>
    <row r="164" spans="1:22" ht="14.4" x14ac:dyDescent="0.3">
      <c r="A164" s="14" t="s">
        <v>355</v>
      </c>
      <c r="B164" s="485"/>
      <c r="C164" s="25" t="s">
        <v>356</v>
      </c>
      <c r="D164" s="102" t="s">
        <v>25</v>
      </c>
      <c r="E164" s="122">
        <v>49.47</v>
      </c>
      <c r="F164" s="144">
        <v>436795</v>
      </c>
      <c r="G164" s="145">
        <v>21607200</v>
      </c>
      <c r="H164" s="132">
        <v>436791</v>
      </c>
      <c r="I164" s="16">
        <f t="shared" si="66"/>
        <v>21608051</v>
      </c>
      <c r="J164" s="22">
        <v>0</v>
      </c>
      <c r="K164" s="23">
        <v>0</v>
      </c>
      <c r="L164" s="24">
        <f t="shared" si="67"/>
        <v>0</v>
      </c>
      <c r="M164" s="22">
        <v>0</v>
      </c>
      <c r="N164" s="372">
        <v>-4</v>
      </c>
      <c r="O164" s="19">
        <f t="shared" si="71"/>
        <v>-1747164</v>
      </c>
      <c r="P164" s="17">
        <v>0</v>
      </c>
      <c r="Q164" s="380">
        <v>0</v>
      </c>
      <c r="R164" s="19">
        <f t="shared" si="70"/>
        <v>0</v>
      </c>
      <c r="S164" s="259">
        <f t="shared" si="68"/>
        <v>45.47</v>
      </c>
      <c r="T164" s="20">
        <f t="shared" si="69"/>
        <v>19860887</v>
      </c>
      <c r="U164" s="20">
        <v>9364799.7200000007</v>
      </c>
      <c r="V164" s="403"/>
    </row>
    <row r="165" spans="1:22" ht="14.4" x14ac:dyDescent="0.3">
      <c r="A165" s="14" t="s">
        <v>357</v>
      </c>
      <c r="B165" s="485"/>
      <c r="C165" s="25" t="s">
        <v>358</v>
      </c>
      <c r="D165" s="102" t="s">
        <v>25</v>
      </c>
      <c r="E165" s="122">
        <v>34.25</v>
      </c>
      <c r="F165" s="144">
        <v>574243</v>
      </c>
      <c r="G165" s="145">
        <v>19665985</v>
      </c>
      <c r="H165" s="132">
        <v>574239</v>
      </c>
      <c r="I165" s="16">
        <f t="shared" si="66"/>
        <v>19667686</v>
      </c>
      <c r="J165" s="22">
        <v>0</v>
      </c>
      <c r="K165" s="23">
        <v>0</v>
      </c>
      <c r="L165" s="24">
        <f t="shared" si="67"/>
        <v>0</v>
      </c>
      <c r="M165" s="22">
        <v>0</v>
      </c>
      <c r="N165" s="23">
        <v>0</v>
      </c>
      <c r="O165" s="19">
        <f t="shared" si="71"/>
        <v>0</v>
      </c>
      <c r="P165" s="17">
        <v>0</v>
      </c>
      <c r="Q165" s="358">
        <v>0</v>
      </c>
      <c r="R165" s="19">
        <f t="shared" si="70"/>
        <v>0</v>
      </c>
      <c r="S165" s="259">
        <f t="shared" si="68"/>
        <v>34.25</v>
      </c>
      <c r="T165" s="20">
        <f t="shared" si="69"/>
        <v>19667686</v>
      </c>
      <c r="U165" s="20">
        <v>19667685</v>
      </c>
      <c r="V165" s="403"/>
    </row>
    <row r="166" spans="1:22" ht="15" customHeight="1" x14ac:dyDescent="0.3">
      <c r="A166" s="14" t="s">
        <v>359</v>
      </c>
      <c r="B166" s="486"/>
      <c r="C166" s="25" t="s">
        <v>360</v>
      </c>
      <c r="D166" s="102" t="s">
        <v>25</v>
      </c>
      <c r="E166" s="122">
        <v>49.47</v>
      </c>
      <c r="F166" s="144">
        <v>484550</v>
      </c>
      <c r="G166" s="145">
        <v>23969526</v>
      </c>
      <c r="H166" s="132">
        <v>484546</v>
      </c>
      <c r="I166" s="16">
        <f t="shared" si="66"/>
        <v>23970491</v>
      </c>
      <c r="J166" s="22">
        <v>0</v>
      </c>
      <c r="K166" s="23">
        <v>0</v>
      </c>
      <c r="L166" s="24">
        <f t="shared" si="67"/>
        <v>0</v>
      </c>
      <c r="M166" s="22">
        <v>0</v>
      </c>
      <c r="N166" s="23">
        <v>0</v>
      </c>
      <c r="O166" s="19">
        <f t="shared" si="71"/>
        <v>0</v>
      </c>
      <c r="P166" s="17">
        <v>0</v>
      </c>
      <c r="Q166" s="380">
        <v>0</v>
      </c>
      <c r="R166" s="19">
        <f t="shared" si="70"/>
        <v>0</v>
      </c>
      <c r="S166" s="259">
        <f t="shared" si="68"/>
        <v>49.47</v>
      </c>
      <c r="T166" s="20">
        <f t="shared" si="69"/>
        <v>23970491</v>
      </c>
      <c r="U166" s="20">
        <v>16086928</v>
      </c>
      <c r="V166" s="403"/>
    </row>
    <row r="167" spans="1:22" ht="14.4" x14ac:dyDescent="0.3">
      <c r="A167" s="28" t="s">
        <v>361</v>
      </c>
      <c r="B167" s="41"/>
      <c r="C167" s="109" t="s">
        <v>362</v>
      </c>
      <c r="D167" s="110"/>
      <c r="E167" s="110"/>
      <c r="F167" s="155"/>
      <c r="G167" s="156">
        <v>132066989</v>
      </c>
      <c r="H167" s="111"/>
      <c r="I167" s="11">
        <f>+I168</f>
        <v>132066568</v>
      </c>
      <c r="J167" s="476"/>
      <c r="K167" s="477"/>
      <c r="L167" s="11">
        <f>+L168</f>
        <v>-2820200</v>
      </c>
      <c r="M167" s="476"/>
      <c r="N167" s="477"/>
      <c r="O167" s="11">
        <f>+O168</f>
        <v>0</v>
      </c>
      <c r="P167" s="348"/>
      <c r="Q167" s="348"/>
      <c r="R167" s="11">
        <f>+R168</f>
        <v>0</v>
      </c>
      <c r="S167" s="8"/>
      <c r="T167" s="13">
        <f>+T168</f>
        <v>129246368</v>
      </c>
      <c r="U167" s="13">
        <v>0</v>
      </c>
      <c r="V167" s="404"/>
    </row>
    <row r="168" spans="1:22" ht="28.2" customHeight="1" x14ac:dyDescent="0.3">
      <c r="A168" s="28" t="s">
        <v>363</v>
      </c>
      <c r="B168" s="41" t="s">
        <v>364</v>
      </c>
      <c r="C168" s="42" t="s">
        <v>365</v>
      </c>
      <c r="D168" s="6" t="s">
        <v>366</v>
      </c>
      <c r="E168" s="35"/>
      <c r="F168" s="139"/>
      <c r="G168" s="138">
        <v>132066989</v>
      </c>
      <c r="H168" s="36"/>
      <c r="I168" s="11">
        <f>SUM(I169:I177)</f>
        <v>132066568</v>
      </c>
      <c r="J168" s="476"/>
      <c r="K168" s="477"/>
      <c r="L168" s="11">
        <f>SUM(L169:L177)</f>
        <v>-2820200</v>
      </c>
      <c r="M168" s="476"/>
      <c r="N168" s="477"/>
      <c r="O168" s="11">
        <f>SUM(O169:O177)</f>
        <v>0</v>
      </c>
      <c r="P168" s="348"/>
      <c r="Q168" s="348"/>
      <c r="R168" s="11">
        <f>SUM(R169:R177)</f>
        <v>0</v>
      </c>
      <c r="S168" s="27"/>
      <c r="T168" s="13">
        <f>SUM(T169:T177)</f>
        <v>129246368</v>
      </c>
      <c r="U168" s="13">
        <v>0</v>
      </c>
      <c r="V168" s="404"/>
    </row>
    <row r="169" spans="1:22" ht="28.2" customHeight="1" x14ac:dyDescent="0.3">
      <c r="A169" s="43" t="s">
        <v>367</v>
      </c>
      <c r="B169" s="501" t="s">
        <v>364</v>
      </c>
      <c r="C169" s="25" t="s">
        <v>368</v>
      </c>
      <c r="D169" s="102" t="s">
        <v>366</v>
      </c>
      <c r="E169" s="120">
        <v>28</v>
      </c>
      <c r="F169" s="140">
        <v>351875</v>
      </c>
      <c r="G169" s="141">
        <v>9852500</v>
      </c>
      <c r="H169" s="131">
        <v>351875</v>
      </c>
      <c r="I169" s="16">
        <f t="shared" ref="I169:I177" si="72">ROUND(E169*H169,0)</f>
        <v>9852500</v>
      </c>
      <c r="J169" s="22">
        <v>0</v>
      </c>
      <c r="K169" s="23">
        <v>0</v>
      </c>
      <c r="L169" s="24">
        <f t="shared" ref="L169:L177" si="73">ROUND(+J169*H169+K169*H169,0)</f>
        <v>0</v>
      </c>
      <c r="M169" s="22">
        <v>0</v>
      </c>
      <c r="N169" s="23">
        <v>0</v>
      </c>
      <c r="O169" s="19">
        <f t="shared" ref="O169:O177" si="74">ROUND(+M169*H169+N169*H169,0)</f>
        <v>0</v>
      </c>
      <c r="P169" s="17">
        <v>0</v>
      </c>
      <c r="Q169" s="358">
        <v>0</v>
      </c>
      <c r="R169" s="19">
        <f>ROUND(+P169*H169+Q169*H169,0)</f>
        <v>0</v>
      </c>
      <c r="S169" s="259">
        <f t="shared" ref="S169:S177" si="75">+E169+J169+K169+M169+N169+P169+Q169</f>
        <v>28</v>
      </c>
      <c r="T169" s="20">
        <f t="shared" ref="T169:T177" si="76">ROUND(H169*S169,0)</f>
        <v>9852500</v>
      </c>
      <c r="U169" s="20">
        <v>0</v>
      </c>
      <c r="V169" s="403"/>
    </row>
    <row r="170" spans="1:22" ht="28.2" customHeight="1" x14ac:dyDescent="0.3">
      <c r="A170" s="43" t="s">
        <v>369</v>
      </c>
      <c r="B170" s="502"/>
      <c r="C170" s="25" t="s">
        <v>370</v>
      </c>
      <c r="D170" s="102" t="s">
        <v>366</v>
      </c>
      <c r="E170" s="120">
        <v>35</v>
      </c>
      <c r="F170" s="140">
        <v>355233</v>
      </c>
      <c r="G170" s="141">
        <v>12433155</v>
      </c>
      <c r="H170" s="132">
        <v>355230</v>
      </c>
      <c r="I170" s="16">
        <f t="shared" si="72"/>
        <v>12433050</v>
      </c>
      <c r="J170" s="22">
        <v>0</v>
      </c>
      <c r="K170" s="23">
        <v>0</v>
      </c>
      <c r="L170" s="24">
        <f t="shared" si="73"/>
        <v>0</v>
      </c>
      <c r="M170" s="22">
        <v>0</v>
      </c>
      <c r="N170" s="23">
        <v>0</v>
      </c>
      <c r="O170" s="19">
        <f t="shared" si="74"/>
        <v>0</v>
      </c>
      <c r="P170" s="17">
        <v>0</v>
      </c>
      <c r="Q170" s="358">
        <v>0</v>
      </c>
      <c r="R170" s="19">
        <f t="shared" ref="R170:R177" si="77">ROUND(+P170*H170+Q170*H170,0)</f>
        <v>0</v>
      </c>
      <c r="S170" s="259">
        <f t="shared" si="75"/>
        <v>35</v>
      </c>
      <c r="T170" s="20">
        <f t="shared" si="76"/>
        <v>12433050</v>
      </c>
      <c r="U170" s="20">
        <v>0</v>
      </c>
      <c r="V170" s="403"/>
    </row>
    <row r="171" spans="1:22" ht="28.2" customHeight="1" x14ac:dyDescent="0.3">
      <c r="A171" s="43" t="s">
        <v>371</v>
      </c>
      <c r="B171" s="502"/>
      <c r="C171" s="25" t="s">
        <v>372</v>
      </c>
      <c r="D171" s="102" t="s">
        <v>366</v>
      </c>
      <c r="E171" s="120">
        <v>32</v>
      </c>
      <c r="F171" s="140">
        <v>351635</v>
      </c>
      <c r="G171" s="141">
        <v>11252320</v>
      </c>
      <c r="H171" s="132">
        <v>351631</v>
      </c>
      <c r="I171" s="16">
        <f t="shared" si="72"/>
        <v>11252192</v>
      </c>
      <c r="J171" s="22">
        <v>0</v>
      </c>
      <c r="K171" s="23">
        <v>0</v>
      </c>
      <c r="L171" s="24">
        <f t="shared" si="73"/>
        <v>0</v>
      </c>
      <c r="M171" s="22">
        <v>0</v>
      </c>
      <c r="N171" s="23">
        <v>0</v>
      </c>
      <c r="O171" s="19">
        <f t="shared" si="74"/>
        <v>0</v>
      </c>
      <c r="P171" s="17">
        <v>0</v>
      </c>
      <c r="Q171" s="358">
        <v>0</v>
      </c>
      <c r="R171" s="19">
        <f t="shared" si="77"/>
        <v>0</v>
      </c>
      <c r="S171" s="259">
        <f t="shared" si="75"/>
        <v>32</v>
      </c>
      <c r="T171" s="20">
        <f t="shared" si="76"/>
        <v>11252192</v>
      </c>
      <c r="U171" s="20">
        <v>0</v>
      </c>
      <c r="V171" s="403"/>
    </row>
    <row r="172" spans="1:22" ht="28.2" customHeight="1" x14ac:dyDescent="0.3">
      <c r="A172" s="43" t="s">
        <v>373</v>
      </c>
      <c r="B172" s="502"/>
      <c r="C172" s="25" t="s">
        <v>374</v>
      </c>
      <c r="D172" s="102" t="s">
        <v>366</v>
      </c>
      <c r="E172" s="120">
        <v>87</v>
      </c>
      <c r="F172" s="140">
        <v>351384</v>
      </c>
      <c r="G172" s="141">
        <v>30570408</v>
      </c>
      <c r="H172" s="132">
        <v>351384</v>
      </c>
      <c r="I172" s="16">
        <f t="shared" si="72"/>
        <v>30570408</v>
      </c>
      <c r="J172" s="22">
        <v>0</v>
      </c>
      <c r="K172" s="23">
        <v>0</v>
      </c>
      <c r="L172" s="24">
        <f t="shared" si="73"/>
        <v>0</v>
      </c>
      <c r="M172" s="22">
        <v>0</v>
      </c>
      <c r="N172" s="23">
        <v>0</v>
      </c>
      <c r="O172" s="19">
        <f t="shared" si="74"/>
        <v>0</v>
      </c>
      <c r="P172" s="17">
        <v>0</v>
      </c>
      <c r="Q172" s="358">
        <v>0</v>
      </c>
      <c r="R172" s="19">
        <f t="shared" si="77"/>
        <v>0</v>
      </c>
      <c r="S172" s="259">
        <f t="shared" si="75"/>
        <v>87</v>
      </c>
      <c r="T172" s="20">
        <f t="shared" si="76"/>
        <v>30570408</v>
      </c>
      <c r="U172" s="20">
        <v>0</v>
      </c>
      <c r="V172" s="403"/>
    </row>
    <row r="173" spans="1:22" ht="28.2" customHeight="1" x14ac:dyDescent="0.3">
      <c r="A173" s="43" t="s">
        <v>375</v>
      </c>
      <c r="B173" s="502"/>
      <c r="C173" s="25" t="s">
        <v>376</v>
      </c>
      <c r="D173" s="102" t="s">
        <v>366</v>
      </c>
      <c r="E173" s="120">
        <v>21</v>
      </c>
      <c r="F173" s="140">
        <v>352525</v>
      </c>
      <c r="G173" s="141">
        <v>7403025</v>
      </c>
      <c r="H173" s="132">
        <v>352525</v>
      </c>
      <c r="I173" s="16">
        <f t="shared" si="72"/>
        <v>7403025</v>
      </c>
      <c r="J173" s="22">
        <v>0</v>
      </c>
      <c r="K173" s="369">
        <f>-'[7]DEVOLUCION CHADO '!$I$41</f>
        <v>-8</v>
      </c>
      <c r="L173" s="24">
        <f t="shared" si="73"/>
        <v>-2820200</v>
      </c>
      <c r="M173" s="22">
        <v>0</v>
      </c>
      <c r="N173" s="23">
        <v>0</v>
      </c>
      <c r="O173" s="19">
        <f t="shared" si="74"/>
        <v>0</v>
      </c>
      <c r="P173" s="17">
        <v>0</v>
      </c>
      <c r="Q173" s="358">
        <v>0</v>
      </c>
      <c r="R173" s="19">
        <f t="shared" si="77"/>
        <v>0</v>
      </c>
      <c r="S173" s="259">
        <f t="shared" si="75"/>
        <v>13</v>
      </c>
      <c r="T173" s="20">
        <f t="shared" si="76"/>
        <v>4582825</v>
      </c>
      <c r="U173" s="20">
        <v>0</v>
      </c>
      <c r="V173" s="403"/>
    </row>
    <row r="174" spans="1:22" ht="28.2" customHeight="1" x14ac:dyDescent="0.3">
      <c r="A174" s="43" t="s">
        <v>377</v>
      </c>
      <c r="B174" s="502"/>
      <c r="C174" s="25" t="s">
        <v>378</v>
      </c>
      <c r="D174" s="102" t="s">
        <v>366</v>
      </c>
      <c r="E174" s="120">
        <v>47</v>
      </c>
      <c r="F174" s="140">
        <v>352821</v>
      </c>
      <c r="G174" s="141">
        <v>16582587</v>
      </c>
      <c r="H174" s="132">
        <v>352817</v>
      </c>
      <c r="I174" s="16">
        <f t="shared" si="72"/>
        <v>16582399</v>
      </c>
      <c r="J174" s="22">
        <v>0</v>
      </c>
      <c r="K174" s="23">
        <v>0</v>
      </c>
      <c r="L174" s="24">
        <f t="shared" si="73"/>
        <v>0</v>
      </c>
      <c r="M174" s="22">
        <v>0</v>
      </c>
      <c r="N174" s="23">
        <v>0</v>
      </c>
      <c r="O174" s="19">
        <f t="shared" si="74"/>
        <v>0</v>
      </c>
      <c r="P174" s="17">
        <v>0</v>
      </c>
      <c r="Q174" s="358">
        <v>0</v>
      </c>
      <c r="R174" s="19">
        <f t="shared" si="77"/>
        <v>0</v>
      </c>
      <c r="S174" s="259">
        <f t="shared" si="75"/>
        <v>47</v>
      </c>
      <c r="T174" s="20">
        <f t="shared" si="76"/>
        <v>16582399</v>
      </c>
      <c r="U174" s="20">
        <v>0</v>
      </c>
      <c r="V174" s="403"/>
    </row>
    <row r="175" spans="1:22" ht="28.2" customHeight="1" x14ac:dyDescent="0.3">
      <c r="A175" s="43" t="s">
        <v>379</v>
      </c>
      <c r="B175" s="502"/>
      <c r="C175" s="25" t="s">
        <v>380</v>
      </c>
      <c r="D175" s="102" t="s">
        <v>366</v>
      </c>
      <c r="E175" s="120">
        <v>32</v>
      </c>
      <c r="F175" s="140">
        <v>352210</v>
      </c>
      <c r="G175" s="141">
        <v>11270720</v>
      </c>
      <c r="H175" s="132">
        <v>352210</v>
      </c>
      <c r="I175" s="16">
        <f t="shared" si="72"/>
        <v>11270720</v>
      </c>
      <c r="J175" s="22">
        <v>0</v>
      </c>
      <c r="K175" s="23">
        <v>0</v>
      </c>
      <c r="L175" s="24">
        <f t="shared" si="73"/>
        <v>0</v>
      </c>
      <c r="M175" s="22">
        <v>0</v>
      </c>
      <c r="N175" s="23">
        <v>0</v>
      </c>
      <c r="O175" s="19">
        <f t="shared" si="74"/>
        <v>0</v>
      </c>
      <c r="P175" s="17">
        <v>0</v>
      </c>
      <c r="Q175" s="358">
        <v>0</v>
      </c>
      <c r="R175" s="19">
        <f t="shared" si="77"/>
        <v>0</v>
      </c>
      <c r="S175" s="259">
        <f t="shared" si="75"/>
        <v>32</v>
      </c>
      <c r="T175" s="20">
        <f t="shared" si="76"/>
        <v>11270720</v>
      </c>
      <c r="U175" s="20">
        <v>0</v>
      </c>
      <c r="V175" s="403"/>
    </row>
    <row r="176" spans="1:22" ht="28.2" customHeight="1" x14ac:dyDescent="0.3">
      <c r="A176" s="43" t="s">
        <v>381</v>
      </c>
      <c r="B176" s="502"/>
      <c r="C176" s="25" t="s">
        <v>382</v>
      </c>
      <c r="D176" s="102" t="s">
        <v>366</v>
      </c>
      <c r="E176" s="120">
        <v>51</v>
      </c>
      <c r="F176" s="140">
        <v>356792</v>
      </c>
      <c r="G176" s="141">
        <v>18196392</v>
      </c>
      <c r="H176" s="132">
        <v>356792</v>
      </c>
      <c r="I176" s="16">
        <f t="shared" si="72"/>
        <v>18196392</v>
      </c>
      <c r="J176" s="22">
        <v>0</v>
      </c>
      <c r="K176" s="23">
        <v>0</v>
      </c>
      <c r="L176" s="24">
        <f t="shared" si="73"/>
        <v>0</v>
      </c>
      <c r="M176" s="22">
        <v>0</v>
      </c>
      <c r="N176" s="23">
        <v>0</v>
      </c>
      <c r="O176" s="19">
        <f t="shared" si="74"/>
        <v>0</v>
      </c>
      <c r="P176" s="17">
        <v>0</v>
      </c>
      <c r="Q176" s="358">
        <v>0</v>
      </c>
      <c r="R176" s="19">
        <f t="shared" si="77"/>
        <v>0</v>
      </c>
      <c r="S176" s="259">
        <f t="shared" si="75"/>
        <v>51</v>
      </c>
      <c r="T176" s="20">
        <f t="shared" si="76"/>
        <v>18196392</v>
      </c>
      <c r="U176" s="20">
        <v>0</v>
      </c>
      <c r="V176" s="403"/>
    </row>
    <row r="177" spans="1:22" ht="28.2" customHeight="1" x14ac:dyDescent="0.3">
      <c r="A177" s="44" t="s">
        <v>383</v>
      </c>
      <c r="B177" s="502"/>
      <c r="C177" s="45" t="s">
        <v>384</v>
      </c>
      <c r="D177" s="103" t="s">
        <v>366</v>
      </c>
      <c r="E177" s="126">
        <v>41</v>
      </c>
      <c r="F177" s="157">
        <v>353802</v>
      </c>
      <c r="G177" s="158">
        <v>14505882</v>
      </c>
      <c r="H177" s="132">
        <v>353802</v>
      </c>
      <c r="I177" s="46">
        <f t="shared" si="72"/>
        <v>14505882</v>
      </c>
      <c r="J177" s="22">
        <v>0</v>
      </c>
      <c r="K177" s="23">
        <v>0</v>
      </c>
      <c r="L177" s="24">
        <f t="shared" si="73"/>
        <v>0</v>
      </c>
      <c r="M177" s="22">
        <v>0</v>
      </c>
      <c r="N177" s="23">
        <v>0</v>
      </c>
      <c r="O177" s="19">
        <f t="shared" si="74"/>
        <v>0</v>
      </c>
      <c r="P177" s="17">
        <v>0</v>
      </c>
      <c r="Q177" s="358">
        <v>0</v>
      </c>
      <c r="R177" s="19">
        <f t="shared" si="77"/>
        <v>0</v>
      </c>
      <c r="S177" s="259">
        <f t="shared" si="75"/>
        <v>41</v>
      </c>
      <c r="T177" s="20">
        <f t="shared" si="76"/>
        <v>14505882</v>
      </c>
      <c r="U177" s="20">
        <v>0</v>
      </c>
      <c r="V177" s="403"/>
    </row>
    <row r="178" spans="1:22" ht="14.4" x14ac:dyDescent="0.3">
      <c r="A178" s="28" t="s">
        <v>385</v>
      </c>
      <c r="B178" s="6"/>
      <c r="C178" s="109" t="s">
        <v>386</v>
      </c>
      <c r="D178" s="110"/>
      <c r="E178" s="110"/>
      <c r="F178" s="155"/>
      <c r="G178" s="156">
        <v>1437672</v>
      </c>
      <c r="H178" s="111"/>
      <c r="I178" s="11">
        <f>+ROUND(I179,0)</f>
        <v>1303236</v>
      </c>
      <c r="J178" s="476"/>
      <c r="K178" s="477"/>
      <c r="L178" s="11">
        <f>+ROUND(L179,0)</f>
        <v>0</v>
      </c>
      <c r="M178" s="476"/>
      <c r="N178" s="477"/>
      <c r="O178" s="11">
        <f>+ROUND(O179,0)</f>
        <v>118476</v>
      </c>
      <c r="P178" s="348"/>
      <c r="Q178" s="348"/>
      <c r="R178" s="11">
        <f>+ROUND(R179,0)</f>
        <v>0</v>
      </c>
      <c r="S178" s="8"/>
      <c r="T178" s="13">
        <f>+ROUND(T179,0)</f>
        <v>1421712</v>
      </c>
      <c r="U178" s="13">
        <v>1304235.2763636361</v>
      </c>
      <c r="V178" s="404"/>
    </row>
    <row r="179" spans="1:22" ht="14.4" x14ac:dyDescent="0.3">
      <c r="A179" s="28" t="s">
        <v>387</v>
      </c>
      <c r="B179" s="6">
        <v>201.6</v>
      </c>
      <c r="C179" s="29" t="s">
        <v>388</v>
      </c>
      <c r="D179" s="6" t="s">
        <v>366</v>
      </c>
      <c r="E179" s="35"/>
      <c r="F179" s="139"/>
      <c r="G179" s="138">
        <v>1437672.3166666669</v>
      </c>
      <c r="H179" s="36"/>
      <c r="I179" s="11">
        <f>SUM(I180:I188)</f>
        <v>1303236</v>
      </c>
      <c r="J179" s="476"/>
      <c r="K179" s="477"/>
      <c r="L179" s="11">
        <f>SUM(L180:L188)</f>
        <v>0</v>
      </c>
      <c r="M179" s="476"/>
      <c r="N179" s="477"/>
      <c r="O179" s="11">
        <f>SUM(O180:O188)</f>
        <v>118476</v>
      </c>
      <c r="P179" s="348"/>
      <c r="Q179" s="348"/>
      <c r="R179" s="11">
        <f>SUM(R180:R188)</f>
        <v>0</v>
      </c>
      <c r="S179" s="8"/>
      <c r="T179" s="13">
        <f>SUM(T180:T188)</f>
        <v>1421712</v>
      </c>
      <c r="U179" s="13">
        <v>1304235.2763636361</v>
      </c>
      <c r="V179" s="404"/>
    </row>
    <row r="180" spans="1:22" ht="14.4" x14ac:dyDescent="0.3">
      <c r="A180" s="14" t="s">
        <v>389</v>
      </c>
      <c r="B180" s="481">
        <v>201.6</v>
      </c>
      <c r="C180" s="15" t="s">
        <v>390</v>
      </c>
      <c r="D180" s="47" t="s">
        <v>366</v>
      </c>
      <c r="E180" s="127">
        <v>6</v>
      </c>
      <c r="F180" s="159">
        <v>130697.48333333334</v>
      </c>
      <c r="G180" s="160">
        <v>784184.9</v>
      </c>
      <c r="H180" s="132">
        <v>118476</v>
      </c>
      <c r="I180" s="46">
        <f t="shared" ref="I180:I188" si="78">ROUND(E180*H180,0)</f>
        <v>710856</v>
      </c>
      <c r="J180" s="22">
        <v>0</v>
      </c>
      <c r="K180" s="23">
        <v>0</v>
      </c>
      <c r="L180" s="24">
        <f t="shared" ref="L180:L188" si="79">ROUND(+J180*H180+K180*H180,0)</f>
        <v>0</v>
      </c>
      <c r="M180" s="363">
        <v>1</v>
      </c>
      <c r="N180" s="23">
        <v>0</v>
      </c>
      <c r="O180" s="19">
        <f t="shared" ref="O180:O188" si="80">ROUND(+M180*H180+N180*H180,0)</f>
        <v>118476</v>
      </c>
      <c r="P180" s="17">
        <v>0</v>
      </c>
      <c r="Q180" s="358">
        <v>0</v>
      </c>
      <c r="R180" s="19">
        <f>ROUND(+P180*H180+Q180*H180,0)</f>
        <v>0</v>
      </c>
      <c r="S180" s="259">
        <f t="shared" ref="S180:S188" si="81">+E180+J180+K180+M180+N180+P180+Q180</f>
        <v>7</v>
      </c>
      <c r="T180" s="20">
        <f t="shared" ref="T180:T188" si="82">ROUND(H180*S180,0)</f>
        <v>829332</v>
      </c>
      <c r="U180" s="20">
        <v>711401</v>
      </c>
      <c r="V180" s="403"/>
    </row>
    <row r="181" spans="1:22" ht="14.4" x14ac:dyDescent="0.3">
      <c r="A181" s="14" t="s">
        <v>391</v>
      </c>
      <c r="B181" s="481"/>
      <c r="C181" s="15" t="s">
        <v>392</v>
      </c>
      <c r="D181" s="47" t="s">
        <v>366</v>
      </c>
      <c r="E181" s="127">
        <v>0</v>
      </c>
      <c r="F181" s="159">
        <v>130697.48333333334</v>
      </c>
      <c r="G181" s="160">
        <v>0</v>
      </c>
      <c r="H181" s="132">
        <v>118476</v>
      </c>
      <c r="I181" s="46">
        <f t="shared" si="78"/>
        <v>0</v>
      </c>
      <c r="J181" s="22">
        <v>0</v>
      </c>
      <c r="K181" s="23">
        <v>0</v>
      </c>
      <c r="L181" s="24">
        <f t="shared" si="79"/>
        <v>0</v>
      </c>
      <c r="M181" s="22">
        <v>0</v>
      </c>
      <c r="N181" s="23">
        <v>0</v>
      </c>
      <c r="O181" s="19">
        <f t="shared" si="80"/>
        <v>0</v>
      </c>
      <c r="P181" s="381">
        <v>0</v>
      </c>
      <c r="Q181" s="358">
        <v>0</v>
      </c>
      <c r="R181" s="19">
        <f t="shared" ref="R181:R188" si="83">ROUND(+P181*H181+Q181*H181,0)</f>
        <v>0</v>
      </c>
      <c r="S181" s="259">
        <f t="shared" si="81"/>
        <v>0</v>
      </c>
      <c r="T181" s="20">
        <f t="shared" si="82"/>
        <v>0</v>
      </c>
      <c r="U181" s="20">
        <v>0</v>
      </c>
      <c r="V181" s="403"/>
    </row>
    <row r="182" spans="1:22" ht="14.4" x14ac:dyDescent="0.3">
      <c r="A182" s="14" t="s">
        <v>393</v>
      </c>
      <c r="B182" s="481"/>
      <c r="C182" s="15" t="s">
        <v>394</v>
      </c>
      <c r="D182" s="47" t="s">
        <v>366</v>
      </c>
      <c r="E182" s="127">
        <v>0</v>
      </c>
      <c r="F182" s="159">
        <v>130697.48333333334</v>
      </c>
      <c r="G182" s="160">
        <v>0</v>
      </c>
      <c r="H182" s="132">
        <v>118476</v>
      </c>
      <c r="I182" s="46">
        <f t="shared" si="78"/>
        <v>0</v>
      </c>
      <c r="J182" s="22">
        <v>0</v>
      </c>
      <c r="K182" s="23">
        <v>0</v>
      </c>
      <c r="L182" s="24">
        <f t="shared" si="79"/>
        <v>0</v>
      </c>
      <c r="M182" s="22">
        <v>0</v>
      </c>
      <c r="N182" s="23">
        <v>0</v>
      </c>
      <c r="O182" s="19">
        <f t="shared" si="80"/>
        <v>0</v>
      </c>
      <c r="P182" s="17">
        <v>0</v>
      </c>
      <c r="Q182" s="358">
        <v>0</v>
      </c>
      <c r="R182" s="19">
        <f t="shared" si="83"/>
        <v>0</v>
      </c>
      <c r="S182" s="259">
        <f t="shared" si="81"/>
        <v>0</v>
      </c>
      <c r="T182" s="20">
        <f t="shared" si="82"/>
        <v>0</v>
      </c>
      <c r="U182" s="20">
        <v>0</v>
      </c>
      <c r="V182" s="403"/>
    </row>
    <row r="183" spans="1:22" ht="14.4" x14ac:dyDescent="0.3">
      <c r="A183" s="14" t="s">
        <v>395</v>
      </c>
      <c r="B183" s="481"/>
      <c r="C183" s="15" t="s">
        <v>396</v>
      </c>
      <c r="D183" s="47" t="s">
        <v>366</v>
      </c>
      <c r="E183" s="127">
        <v>0</v>
      </c>
      <c r="F183" s="159">
        <v>130697.48333333334</v>
      </c>
      <c r="G183" s="160">
        <v>0</v>
      </c>
      <c r="H183" s="132">
        <v>118476</v>
      </c>
      <c r="I183" s="46">
        <f t="shared" si="78"/>
        <v>0</v>
      </c>
      <c r="J183" s="22">
        <v>0</v>
      </c>
      <c r="K183" s="23">
        <v>0</v>
      </c>
      <c r="L183" s="24">
        <f t="shared" si="79"/>
        <v>0</v>
      </c>
      <c r="M183" s="22">
        <v>0</v>
      </c>
      <c r="N183" s="23">
        <v>0</v>
      </c>
      <c r="O183" s="19">
        <f t="shared" si="80"/>
        <v>0</v>
      </c>
      <c r="P183" s="17">
        <v>0</v>
      </c>
      <c r="Q183" s="358">
        <v>0</v>
      </c>
      <c r="R183" s="19">
        <f t="shared" si="83"/>
        <v>0</v>
      </c>
      <c r="S183" s="259">
        <f t="shared" si="81"/>
        <v>0</v>
      </c>
      <c r="T183" s="20">
        <f t="shared" si="82"/>
        <v>0</v>
      </c>
      <c r="U183" s="20">
        <v>0</v>
      </c>
      <c r="V183" s="403"/>
    </row>
    <row r="184" spans="1:22" ht="14.4" x14ac:dyDescent="0.3">
      <c r="A184" s="14" t="s">
        <v>397</v>
      </c>
      <c r="B184" s="481"/>
      <c r="C184" s="15" t="s">
        <v>398</v>
      </c>
      <c r="D184" s="47" t="s">
        <v>366</v>
      </c>
      <c r="E184" s="127">
        <v>0</v>
      </c>
      <c r="F184" s="159">
        <v>130697.48333333334</v>
      </c>
      <c r="G184" s="160">
        <v>0</v>
      </c>
      <c r="H184" s="132">
        <v>118476</v>
      </c>
      <c r="I184" s="46">
        <f t="shared" si="78"/>
        <v>0</v>
      </c>
      <c r="J184" s="22">
        <v>0</v>
      </c>
      <c r="K184" s="23">
        <v>0</v>
      </c>
      <c r="L184" s="24">
        <f t="shared" si="79"/>
        <v>0</v>
      </c>
      <c r="M184" s="22">
        <v>0</v>
      </c>
      <c r="N184" s="23">
        <v>0</v>
      </c>
      <c r="O184" s="19">
        <f t="shared" si="80"/>
        <v>0</v>
      </c>
      <c r="P184" s="17">
        <v>0</v>
      </c>
      <c r="Q184" s="358">
        <v>0</v>
      </c>
      <c r="R184" s="19">
        <f t="shared" si="83"/>
        <v>0</v>
      </c>
      <c r="S184" s="259">
        <f t="shared" si="81"/>
        <v>0</v>
      </c>
      <c r="T184" s="20">
        <f t="shared" si="82"/>
        <v>0</v>
      </c>
      <c r="U184" s="20">
        <v>0</v>
      </c>
      <c r="V184" s="403"/>
    </row>
    <row r="185" spans="1:22" ht="14.4" x14ac:dyDescent="0.3">
      <c r="A185" s="14" t="s">
        <v>399</v>
      </c>
      <c r="B185" s="481"/>
      <c r="C185" s="15" t="s">
        <v>400</v>
      </c>
      <c r="D185" s="47" t="s">
        <v>366</v>
      </c>
      <c r="E185" s="127">
        <v>0</v>
      </c>
      <c r="F185" s="159">
        <v>130697.48333333334</v>
      </c>
      <c r="G185" s="160">
        <v>0</v>
      </c>
      <c r="H185" s="132">
        <v>118476</v>
      </c>
      <c r="I185" s="46">
        <f t="shared" si="78"/>
        <v>0</v>
      </c>
      <c r="J185" s="22">
        <v>0</v>
      </c>
      <c r="K185" s="23">
        <v>0</v>
      </c>
      <c r="L185" s="24">
        <f t="shared" si="79"/>
        <v>0</v>
      </c>
      <c r="M185" s="22">
        <v>0</v>
      </c>
      <c r="N185" s="23">
        <v>0</v>
      </c>
      <c r="O185" s="19">
        <f t="shared" si="80"/>
        <v>0</v>
      </c>
      <c r="P185" s="17">
        <v>0</v>
      </c>
      <c r="Q185" s="358">
        <v>0</v>
      </c>
      <c r="R185" s="19">
        <f t="shared" si="83"/>
        <v>0</v>
      </c>
      <c r="S185" s="259">
        <f t="shared" si="81"/>
        <v>0</v>
      </c>
      <c r="T185" s="20">
        <f t="shared" si="82"/>
        <v>0</v>
      </c>
      <c r="U185" s="20">
        <v>0</v>
      </c>
      <c r="V185" s="403"/>
    </row>
    <row r="186" spans="1:22" ht="14.4" x14ac:dyDescent="0.3">
      <c r="A186" s="14" t="s">
        <v>401</v>
      </c>
      <c r="B186" s="481"/>
      <c r="C186" s="15" t="s">
        <v>402</v>
      </c>
      <c r="D186" s="47" t="s">
        <v>366</v>
      </c>
      <c r="E186" s="127">
        <v>0</v>
      </c>
      <c r="F186" s="159">
        <v>130697.48333333334</v>
      </c>
      <c r="G186" s="160">
        <v>0</v>
      </c>
      <c r="H186" s="132">
        <v>118476</v>
      </c>
      <c r="I186" s="46">
        <f t="shared" si="78"/>
        <v>0</v>
      </c>
      <c r="J186" s="22">
        <v>0</v>
      </c>
      <c r="K186" s="23">
        <v>0</v>
      </c>
      <c r="L186" s="24">
        <f t="shared" si="79"/>
        <v>0</v>
      </c>
      <c r="M186" s="22">
        <v>0</v>
      </c>
      <c r="N186" s="23">
        <v>0</v>
      </c>
      <c r="O186" s="19">
        <f t="shared" si="80"/>
        <v>0</v>
      </c>
      <c r="P186" s="17">
        <v>0</v>
      </c>
      <c r="Q186" s="358">
        <v>0</v>
      </c>
      <c r="R186" s="19">
        <f t="shared" si="83"/>
        <v>0</v>
      </c>
      <c r="S186" s="259">
        <f t="shared" si="81"/>
        <v>0</v>
      </c>
      <c r="T186" s="20">
        <f t="shared" si="82"/>
        <v>0</v>
      </c>
      <c r="U186" s="20">
        <v>0</v>
      </c>
      <c r="V186" s="403"/>
    </row>
    <row r="187" spans="1:22" ht="14.4" x14ac:dyDescent="0.3">
      <c r="A187" s="14" t="s">
        <v>403</v>
      </c>
      <c r="B187" s="481"/>
      <c r="C187" s="15" t="s">
        <v>404</v>
      </c>
      <c r="D187" s="47" t="s">
        <v>366</v>
      </c>
      <c r="E187" s="127">
        <v>0</v>
      </c>
      <c r="F187" s="159">
        <v>130697.48333333334</v>
      </c>
      <c r="G187" s="160">
        <v>0</v>
      </c>
      <c r="H187" s="132">
        <v>118476</v>
      </c>
      <c r="I187" s="46">
        <f t="shared" si="78"/>
        <v>0</v>
      </c>
      <c r="J187" s="22">
        <v>0</v>
      </c>
      <c r="K187" s="23">
        <v>0</v>
      </c>
      <c r="L187" s="24">
        <f t="shared" si="79"/>
        <v>0</v>
      </c>
      <c r="M187" s="22">
        <v>0</v>
      </c>
      <c r="N187" s="23">
        <v>0</v>
      </c>
      <c r="O187" s="19">
        <f t="shared" si="80"/>
        <v>0</v>
      </c>
      <c r="P187" s="17">
        <v>0</v>
      </c>
      <c r="Q187" s="358">
        <v>0</v>
      </c>
      <c r="R187" s="19">
        <f t="shared" si="83"/>
        <v>0</v>
      </c>
      <c r="S187" s="259">
        <f t="shared" si="81"/>
        <v>0</v>
      </c>
      <c r="T187" s="20">
        <f t="shared" si="82"/>
        <v>0</v>
      </c>
      <c r="U187" s="20">
        <v>0</v>
      </c>
      <c r="V187" s="403"/>
    </row>
    <row r="188" spans="1:22" ht="14.4" x14ac:dyDescent="0.3">
      <c r="A188" s="48" t="s">
        <v>405</v>
      </c>
      <c r="B188" s="484"/>
      <c r="C188" s="49" t="s">
        <v>406</v>
      </c>
      <c r="D188" s="50" t="s">
        <v>366</v>
      </c>
      <c r="E188" s="128">
        <v>5</v>
      </c>
      <c r="F188" s="161">
        <v>130697.48333333334</v>
      </c>
      <c r="G188" s="162">
        <v>653487.41666666674</v>
      </c>
      <c r="H188" s="133">
        <v>118476</v>
      </c>
      <c r="I188" s="46">
        <f t="shared" si="78"/>
        <v>592380</v>
      </c>
      <c r="J188" s="22">
        <v>0</v>
      </c>
      <c r="K188" s="23">
        <v>0</v>
      </c>
      <c r="L188" s="24">
        <f t="shared" si="79"/>
        <v>0</v>
      </c>
      <c r="M188" s="22">
        <v>0</v>
      </c>
      <c r="N188" s="23">
        <v>0</v>
      </c>
      <c r="O188" s="19">
        <f t="shared" si="80"/>
        <v>0</v>
      </c>
      <c r="P188" s="17">
        <v>0</v>
      </c>
      <c r="Q188" s="358">
        <v>0</v>
      </c>
      <c r="R188" s="19">
        <f t="shared" si="83"/>
        <v>0</v>
      </c>
      <c r="S188" s="259">
        <f t="shared" si="81"/>
        <v>5</v>
      </c>
      <c r="T188" s="51">
        <f t="shared" si="82"/>
        <v>592380</v>
      </c>
      <c r="U188" s="51">
        <v>592834.27636363637</v>
      </c>
      <c r="V188" s="403"/>
    </row>
    <row r="189" spans="1:22" ht="14.4" x14ac:dyDescent="0.3">
      <c r="A189" s="52" t="s">
        <v>407</v>
      </c>
      <c r="B189" s="53"/>
      <c r="C189" s="112" t="s">
        <v>408</v>
      </c>
      <c r="D189" s="113"/>
      <c r="E189" s="113"/>
      <c r="F189" s="163"/>
      <c r="G189" s="164"/>
      <c r="H189" s="114"/>
      <c r="I189" s="54">
        <f>+I190+I195</f>
        <v>0</v>
      </c>
      <c r="J189" s="478"/>
      <c r="K189" s="479"/>
      <c r="L189" s="54">
        <f>+L190+L195+L199+L202+L204+L206+L211+L209+L214</f>
        <v>309527987</v>
      </c>
      <c r="M189" s="478"/>
      <c r="N189" s="479"/>
      <c r="O189" s="54">
        <f>+O190+O195+O199+O202+O204+O206+O211+O209+O214+O223</f>
        <v>2259935101</v>
      </c>
      <c r="P189" s="349"/>
      <c r="Q189" s="349"/>
      <c r="R189" s="54">
        <f>+R190+R195+R199+R202+R204+R206+R211+R209+R214+R223</f>
        <v>0</v>
      </c>
      <c r="S189" s="55"/>
      <c r="T189" s="56">
        <f>+T190+T195+T199+T202+T204+T206+T211+T209+T214+T223</f>
        <v>2569463088</v>
      </c>
      <c r="U189" s="56">
        <f>+U190+U195+U199+U202+U204+U206+U211+U209+U214</f>
        <v>0</v>
      </c>
      <c r="V189" s="405"/>
    </row>
    <row r="190" spans="1:22" ht="21" customHeight="1" x14ac:dyDescent="0.3">
      <c r="A190" s="5" t="s">
        <v>409</v>
      </c>
      <c r="B190" s="6"/>
      <c r="C190" s="42" t="s">
        <v>410</v>
      </c>
      <c r="D190" s="6" t="s">
        <v>91</v>
      </c>
      <c r="E190" s="115"/>
      <c r="F190" s="165"/>
      <c r="G190" s="166"/>
      <c r="H190" s="116"/>
      <c r="I190" s="11">
        <f>SUM(I191:I194)</f>
        <v>0</v>
      </c>
      <c r="J190" s="476"/>
      <c r="K190" s="477"/>
      <c r="L190" s="11">
        <f>SUM(L191:L194)</f>
        <v>42470040</v>
      </c>
      <c r="M190" s="476"/>
      <c r="N190" s="477"/>
      <c r="O190" s="11">
        <f>SUM(O191:O194)</f>
        <v>-1656756</v>
      </c>
      <c r="P190" s="348"/>
      <c r="Q190" s="348"/>
      <c r="R190" s="11">
        <f>SUM(R191:R194)</f>
        <v>0</v>
      </c>
      <c r="S190" s="57"/>
      <c r="T190" s="13">
        <f>SUM(T191:T194)</f>
        <v>40813284</v>
      </c>
      <c r="U190" s="13">
        <f>SUM(U191:U194)</f>
        <v>0</v>
      </c>
      <c r="V190" s="404"/>
    </row>
    <row r="191" spans="1:22" ht="15" customHeight="1" x14ac:dyDescent="0.3">
      <c r="A191" s="14" t="s">
        <v>411</v>
      </c>
      <c r="B191" s="58"/>
      <c r="C191" s="25" t="s">
        <v>412</v>
      </c>
      <c r="D191" s="59" t="s">
        <v>91</v>
      </c>
      <c r="E191" s="61"/>
      <c r="F191" s="167"/>
      <c r="G191" s="168"/>
      <c r="H191" s="132">
        <v>278366</v>
      </c>
      <c r="I191" s="60"/>
      <c r="J191" s="363">
        <v>54</v>
      </c>
      <c r="K191" s="258"/>
      <c r="L191" s="24">
        <f>ROUND(+J191*H191+K191*H191,0)</f>
        <v>15031764</v>
      </c>
      <c r="M191" s="311">
        <v>0</v>
      </c>
      <c r="N191" s="311">
        <v>0</v>
      </c>
      <c r="O191" s="19">
        <f t="shared" ref="O191:O222" si="84">ROUND(+M191*H191+N191*H191,0)</f>
        <v>0</v>
      </c>
      <c r="P191" s="17">
        <v>0</v>
      </c>
      <c r="Q191" s="358">
        <v>0</v>
      </c>
      <c r="R191" s="19">
        <f t="shared" ref="R191:R194" si="85">ROUND(+P191*H191+Q191*H191,0)</f>
        <v>0</v>
      </c>
      <c r="S191" s="259">
        <f t="shared" ref="S191:S222" si="86">+E191+J191+K191+M191+N191+P191+Q191</f>
        <v>54</v>
      </c>
      <c r="T191" s="51">
        <f>ROUND(H191*S191,0)</f>
        <v>15031764</v>
      </c>
      <c r="U191" s="51">
        <v>0</v>
      </c>
      <c r="V191" s="403"/>
    </row>
    <row r="192" spans="1:22" ht="15" customHeight="1" x14ac:dyDescent="0.3">
      <c r="A192" s="14" t="s">
        <v>411</v>
      </c>
      <c r="B192" s="58"/>
      <c r="C192" s="25" t="s">
        <v>413</v>
      </c>
      <c r="D192" s="59" t="s">
        <v>91</v>
      </c>
      <c r="E192" s="61"/>
      <c r="F192" s="167"/>
      <c r="G192" s="168"/>
      <c r="H192" s="132">
        <v>279486</v>
      </c>
      <c r="I192" s="60"/>
      <c r="J192" s="363">
        <v>12</v>
      </c>
      <c r="K192" s="258"/>
      <c r="L192" s="24">
        <f>ROUND(+J192*H192+K192*H192,0)</f>
        <v>3353832</v>
      </c>
      <c r="M192" s="377">
        <v>12</v>
      </c>
      <c r="N192" s="311">
        <v>0</v>
      </c>
      <c r="O192" s="19">
        <f t="shared" si="84"/>
        <v>3353832</v>
      </c>
      <c r="P192" s="17">
        <v>0</v>
      </c>
      <c r="Q192" s="358">
        <v>0</v>
      </c>
      <c r="R192" s="19">
        <f t="shared" si="85"/>
        <v>0</v>
      </c>
      <c r="S192" s="259">
        <f t="shared" si="86"/>
        <v>24</v>
      </c>
      <c r="T192" s="51">
        <f>ROUND(H192*S192,0)</f>
        <v>6707664</v>
      </c>
      <c r="U192" s="51"/>
      <c r="V192" s="403"/>
    </row>
    <row r="193" spans="1:22" ht="15" customHeight="1" x14ac:dyDescent="0.3">
      <c r="A193" s="14" t="s">
        <v>414</v>
      </c>
      <c r="B193" s="58"/>
      <c r="C193" s="15" t="s">
        <v>415</v>
      </c>
      <c r="D193" s="59" t="s">
        <v>91</v>
      </c>
      <c r="E193" s="61"/>
      <c r="F193" s="167"/>
      <c r="G193" s="168"/>
      <c r="H193" s="132">
        <v>278366</v>
      </c>
      <c r="I193" s="60"/>
      <c r="J193" s="363">
        <v>54</v>
      </c>
      <c r="K193" s="258"/>
      <c r="L193" s="24">
        <f>ROUND(+J193*H193+K193*H193,0)</f>
        <v>15031764</v>
      </c>
      <c r="M193" s="311">
        <v>0</v>
      </c>
      <c r="N193" s="376">
        <v>-18</v>
      </c>
      <c r="O193" s="19">
        <f t="shared" si="84"/>
        <v>-5010588</v>
      </c>
      <c r="P193" s="17">
        <v>0</v>
      </c>
      <c r="Q193" s="358">
        <v>0</v>
      </c>
      <c r="R193" s="19">
        <f t="shared" si="85"/>
        <v>0</v>
      </c>
      <c r="S193" s="259">
        <f t="shared" si="86"/>
        <v>36</v>
      </c>
      <c r="T193" s="51">
        <f>ROUND(H193*S193,0)</f>
        <v>10021176</v>
      </c>
      <c r="U193" s="51"/>
      <c r="V193" s="403"/>
    </row>
    <row r="194" spans="1:22" ht="14.4" x14ac:dyDescent="0.3">
      <c r="A194" s="14" t="s">
        <v>416</v>
      </c>
      <c r="B194" s="102"/>
      <c r="C194" s="15" t="s">
        <v>417</v>
      </c>
      <c r="D194" s="59" t="s">
        <v>91</v>
      </c>
      <c r="E194" s="127"/>
      <c r="F194" s="169"/>
      <c r="G194" s="170"/>
      <c r="H194" s="132">
        <v>301756</v>
      </c>
      <c r="I194" s="46"/>
      <c r="J194" s="363">
        <v>30</v>
      </c>
      <c r="K194" s="258"/>
      <c r="L194" s="24">
        <f>ROUND(+J194*H194+K194*H194,0)</f>
        <v>9052680</v>
      </c>
      <c r="M194" s="311">
        <v>0</v>
      </c>
      <c r="N194" s="311">
        <v>0</v>
      </c>
      <c r="O194" s="19">
        <f t="shared" si="84"/>
        <v>0</v>
      </c>
      <c r="P194" s="17">
        <v>0</v>
      </c>
      <c r="Q194" s="358">
        <v>0</v>
      </c>
      <c r="R194" s="19">
        <f t="shared" si="85"/>
        <v>0</v>
      </c>
      <c r="S194" s="259">
        <f t="shared" si="86"/>
        <v>30</v>
      </c>
      <c r="T194" s="51">
        <f>ROUND(H194*S194,0)</f>
        <v>9052680</v>
      </c>
      <c r="U194" s="51">
        <v>0</v>
      </c>
      <c r="V194" s="403"/>
    </row>
    <row r="195" spans="1:22" ht="14.4" x14ac:dyDescent="0.3">
      <c r="A195" s="5" t="s">
        <v>418</v>
      </c>
      <c r="B195" s="6"/>
      <c r="C195" s="42" t="s">
        <v>419</v>
      </c>
      <c r="D195" s="6" t="s">
        <v>152</v>
      </c>
      <c r="E195" s="115"/>
      <c r="F195" s="165"/>
      <c r="G195" s="166"/>
      <c r="H195" s="116"/>
      <c r="I195" s="11">
        <f>SUM(I196:I198)</f>
        <v>0</v>
      </c>
      <c r="J195" s="476"/>
      <c r="K195" s="477"/>
      <c r="L195" s="11">
        <f>SUM(L196:L198)</f>
        <v>27033050</v>
      </c>
      <c r="M195" s="455"/>
      <c r="N195" s="456"/>
      <c r="O195" s="11">
        <f>SUM(O196:O198)</f>
        <v>16421850</v>
      </c>
      <c r="P195" s="348"/>
      <c r="Q195" s="348"/>
      <c r="R195" s="11">
        <f>SUM(R196:R198)</f>
        <v>0</v>
      </c>
      <c r="S195" s="57"/>
      <c r="T195" s="13">
        <f>SUM(T196:T198)</f>
        <v>43454900</v>
      </c>
      <c r="U195" s="13">
        <f>SUM(U196:U198)</f>
        <v>0</v>
      </c>
      <c r="V195" s="404"/>
    </row>
    <row r="196" spans="1:22" ht="14.4" x14ac:dyDescent="0.3">
      <c r="A196" s="14" t="s">
        <v>420</v>
      </c>
      <c r="B196" s="58"/>
      <c r="C196" s="15" t="s">
        <v>421</v>
      </c>
      <c r="D196" s="102" t="s">
        <v>152</v>
      </c>
      <c r="E196" s="61"/>
      <c r="F196" s="171"/>
      <c r="G196" s="168"/>
      <c r="H196" s="134">
        <v>64113</v>
      </c>
      <c r="I196" s="60"/>
      <c r="J196" s="363">
        <v>350</v>
      </c>
      <c r="K196" s="258"/>
      <c r="L196" s="24">
        <f>ROUND(+J196*H196+K196*H196,0)</f>
        <v>22439550</v>
      </c>
      <c r="M196" s="366">
        <v>50</v>
      </c>
      <c r="N196" s="311">
        <v>0</v>
      </c>
      <c r="O196" s="19">
        <f t="shared" si="84"/>
        <v>3205650</v>
      </c>
      <c r="P196" s="17">
        <v>0</v>
      </c>
      <c r="Q196" s="358">
        <v>0</v>
      </c>
      <c r="R196" s="19">
        <f t="shared" ref="R196:R198" si="87">ROUND(+P196*H196+Q196*H196,0)</f>
        <v>0</v>
      </c>
      <c r="S196" s="259">
        <f t="shared" si="86"/>
        <v>400</v>
      </c>
      <c r="T196" s="51">
        <f>ROUND(H196*S196,0)</f>
        <v>25645200</v>
      </c>
      <c r="U196" s="51">
        <v>0</v>
      </c>
      <c r="V196" s="403"/>
    </row>
    <row r="197" spans="1:22" ht="14.4" x14ac:dyDescent="0.3">
      <c r="A197" s="14" t="s">
        <v>422</v>
      </c>
      <c r="B197" s="58"/>
      <c r="C197" s="15" t="s">
        <v>546</v>
      </c>
      <c r="D197" s="102" t="s">
        <v>152</v>
      </c>
      <c r="E197" s="61"/>
      <c r="F197" s="171"/>
      <c r="G197" s="168"/>
      <c r="H197" s="134">
        <v>66081</v>
      </c>
      <c r="I197" s="60"/>
      <c r="J197" s="363">
        <v>0</v>
      </c>
      <c r="K197" s="258"/>
      <c r="L197" s="310">
        <v>0</v>
      </c>
      <c r="M197" s="366">
        <v>200</v>
      </c>
      <c r="N197" s="311"/>
      <c r="O197" s="309">
        <v>13216200</v>
      </c>
      <c r="P197" s="17">
        <v>0</v>
      </c>
      <c r="Q197" s="358">
        <v>0</v>
      </c>
      <c r="R197" s="19">
        <f t="shared" si="87"/>
        <v>0</v>
      </c>
      <c r="S197" s="259">
        <f t="shared" si="86"/>
        <v>200</v>
      </c>
      <c r="T197" s="51">
        <v>13216200</v>
      </c>
      <c r="U197" s="46"/>
      <c r="V197" s="403"/>
    </row>
    <row r="198" spans="1:22" ht="14.4" x14ac:dyDescent="0.3">
      <c r="A198" s="14" t="s">
        <v>547</v>
      </c>
      <c r="B198" s="102"/>
      <c r="C198" s="15" t="s">
        <v>423</v>
      </c>
      <c r="D198" s="59" t="s">
        <v>152</v>
      </c>
      <c r="E198" s="127"/>
      <c r="F198" s="169"/>
      <c r="G198" s="170"/>
      <c r="H198" s="132">
        <v>45935</v>
      </c>
      <c r="I198" s="46"/>
      <c r="J198" s="363">
        <v>100</v>
      </c>
      <c r="K198" s="258"/>
      <c r="L198" s="24">
        <f>ROUND(+J198*H198+K198*H198,0)</f>
        <v>4593500</v>
      </c>
      <c r="M198" s="311">
        <v>0</v>
      </c>
      <c r="N198" s="311">
        <v>0</v>
      </c>
      <c r="O198" s="19">
        <f t="shared" si="84"/>
        <v>0</v>
      </c>
      <c r="P198" s="17">
        <v>0</v>
      </c>
      <c r="Q198" s="358">
        <v>0</v>
      </c>
      <c r="R198" s="19">
        <f t="shared" si="87"/>
        <v>0</v>
      </c>
      <c r="S198" s="259">
        <f t="shared" si="86"/>
        <v>100</v>
      </c>
      <c r="T198" s="51">
        <f>ROUND(H198*S198,0)</f>
        <v>4593500</v>
      </c>
      <c r="U198" s="51"/>
      <c r="V198" s="403"/>
    </row>
    <row r="199" spans="1:22" ht="14.4" x14ac:dyDescent="0.3">
      <c r="A199" s="5" t="s">
        <v>424</v>
      </c>
      <c r="B199" s="62"/>
      <c r="C199" s="10" t="s">
        <v>425</v>
      </c>
      <c r="D199" s="63" t="s">
        <v>366</v>
      </c>
      <c r="E199" s="115"/>
      <c r="F199" s="172"/>
      <c r="G199" s="173"/>
      <c r="H199" s="135"/>
      <c r="I199" s="11">
        <f>SUM(I200:I201)</f>
        <v>0</v>
      </c>
      <c r="J199" s="64"/>
      <c r="K199" s="65"/>
      <c r="L199" s="11">
        <f>SUM(L200:L201)</f>
        <v>1184760</v>
      </c>
      <c r="M199" s="312"/>
      <c r="N199" s="313"/>
      <c r="O199" s="11">
        <f>SUM(O200:O201)</f>
        <v>-473904</v>
      </c>
      <c r="P199" s="350"/>
      <c r="Q199" s="350"/>
      <c r="R199" s="11">
        <f>SUM(R200:R201)</f>
        <v>0</v>
      </c>
      <c r="S199" s="66"/>
      <c r="T199" s="13">
        <f>SUM(T200:T201)</f>
        <v>710856</v>
      </c>
      <c r="U199" s="13">
        <f>SUM(U200:U201)</f>
        <v>0</v>
      </c>
      <c r="V199" s="404"/>
    </row>
    <row r="200" spans="1:22" ht="14.4" x14ac:dyDescent="0.3">
      <c r="A200" s="14" t="s">
        <v>426</v>
      </c>
      <c r="B200" s="102"/>
      <c r="C200" s="15" t="s">
        <v>394</v>
      </c>
      <c r="D200" s="47" t="s">
        <v>366</v>
      </c>
      <c r="E200" s="127"/>
      <c r="F200" s="169"/>
      <c r="G200" s="170"/>
      <c r="H200" s="132">
        <v>118476</v>
      </c>
      <c r="I200" s="46"/>
      <c r="J200" s="363">
        <v>1</v>
      </c>
      <c r="K200" s="23"/>
      <c r="L200" s="24">
        <f>ROUND(+J200*H200+K200*H200,0)</f>
        <v>118476</v>
      </c>
      <c r="M200" s="311">
        <v>0</v>
      </c>
      <c r="N200" s="311">
        <v>0</v>
      </c>
      <c r="O200" s="19">
        <f t="shared" si="84"/>
        <v>0</v>
      </c>
      <c r="P200" s="17">
        <v>0</v>
      </c>
      <c r="Q200" s="358">
        <v>0</v>
      </c>
      <c r="R200" s="19">
        <f t="shared" ref="R200:R201" si="88">ROUND(+P200*H200+Q200*H200,0)</f>
        <v>0</v>
      </c>
      <c r="S200" s="259">
        <f t="shared" si="86"/>
        <v>1</v>
      </c>
      <c r="T200" s="51">
        <f>ROUND(H200*S200,0)</f>
        <v>118476</v>
      </c>
      <c r="U200" s="51"/>
      <c r="V200" s="403"/>
    </row>
    <row r="201" spans="1:22" ht="14.4" x14ac:dyDescent="0.3">
      <c r="A201" s="14" t="s">
        <v>427</v>
      </c>
      <c r="B201" s="102"/>
      <c r="C201" s="15" t="s">
        <v>396</v>
      </c>
      <c r="D201" s="47" t="s">
        <v>366</v>
      </c>
      <c r="E201" s="127"/>
      <c r="F201" s="169"/>
      <c r="G201" s="170"/>
      <c r="H201" s="132">
        <v>118476</v>
      </c>
      <c r="I201" s="46"/>
      <c r="J201" s="363">
        <v>9</v>
      </c>
      <c r="K201" s="23"/>
      <c r="L201" s="24">
        <f>ROUND(+J201*H201+K201*H201,0)</f>
        <v>1066284</v>
      </c>
      <c r="M201" s="311">
        <v>0</v>
      </c>
      <c r="N201" s="376">
        <v>-4</v>
      </c>
      <c r="O201" s="19">
        <f t="shared" si="84"/>
        <v>-473904</v>
      </c>
      <c r="P201" s="17">
        <v>0</v>
      </c>
      <c r="Q201" s="358">
        <v>0</v>
      </c>
      <c r="R201" s="19">
        <f t="shared" si="88"/>
        <v>0</v>
      </c>
      <c r="S201" s="259">
        <f t="shared" si="86"/>
        <v>5</v>
      </c>
      <c r="T201" s="51">
        <f>ROUND(H201*S201,0)</f>
        <v>592380</v>
      </c>
      <c r="U201" s="51"/>
      <c r="V201" s="403"/>
    </row>
    <row r="202" spans="1:22" ht="14.4" x14ac:dyDescent="0.3">
      <c r="A202" s="5" t="s">
        <v>428</v>
      </c>
      <c r="B202" s="223"/>
      <c r="C202" s="34" t="s">
        <v>429</v>
      </c>
      <c r="D202" s="67" t="s">
        <v>430</v>
      </c>
      <c r="E202" s="129"/>
      <c r="F202" s="174"/>
      <c r="G202" s="175"/>
      <c r="H202" s="136"/>
      <c r="I202" s="11">
        <f>SUM(I204:I207)</f>
        <v>0</v>
      </c>
      <c r="J202" s="68"/>
      <c r="K202" s="69"/>
      <c r="L202" s="11">
        <f>SUM(L203)</f>
        <v>9649510</v>
      </c>
      <c r="M202" s="314"/>
      <c r="N202" s="315"/>
      <c r="O202" s="11">
        <f>SUM(O203)</f>
        <v>0</v>
      </c>
      <c r="P202" s="350"/>
      <c r="Q202" s="350"/>
      <c r="R202" s="11">
        <f>SUM(R203)</f>
        <v>0</v>
      </c>
      <c r="S202" s="66"/>
      <c r="T202" s="13">
        <f>SUM(T203)</f>
        <v>9649510</v>
      </c>
      <c r="U202" s="13">
        <f>SUM(U203)</f>
        <v>0</v>
      </c>
      <c r="V202" s="404"/>
    </row>
    <row r="203" spans="1:22" ht="14.4" x14ac:dyDescent="0.3">
      <c r="A203" s="14" t="s">
        <v>431</v>
      </c>
      <c r="B203" s="102"/>
      <c r="C203" s="25" t="s">
        <v>432</v>
      </c>
      <c r="D203" s="59" t="s">
        <v>430</v>
      </c>
      <c r="E203" s="127"/>
      <c r="F203" s="169"/>
      <c r="G203" s="170"/>
      <c r="H203" s="132">
        <v>9649510</v>
      </c>
      <c r="I203" s="46"/>
      <c r="J203" s="374">
        <v>1</v>
      </c>
      <c r="K203" s="70"/>
      <c r="L203" s="24">
        <f>ROUND(+J203*H203+K203*H203,0)</f>
        <v>9649510</v>
      </c>
      <c r="M203" s="311">
        <v>0</v>
      </c>
      <c r="N203" s="311">
        <v>0</v>
      </c>
      <c r="O203" s="19">
        <f t="shared" si="84"/>
        <v>0</v>
      </c>
      <c r="P203" s="17">
        <v>0</v>
      </c>
      <c r="Q203" s="358">
        <v>0</v>
      </c>
      <c r="R203" s="19">
        <f t="shared" ref="R203" si="89">ROUND(+P203*H203+Q203*H203,0)</f>
        <v>0</v>
      </c>
      <c r="S203" s="259">
        <f t="shared" si="86"/>
        <v>1</v>
      </c>
      <c r="T203" s="51">
        <f>ROUND(H203*S203,0)</f>
        <v>9649510</v>
      </c>
      <c r="U203" s="51"/>
      <c r="V203" s="403"/>
    </row>
    <row r="204" spans="1:22" ht="14.4" x14ac:dyDescent="0.3">
      <c r="A204" s="5" t="s">
        <v>433</v>
      </c>
      <c r="B204" s="62"/>
      <c r="C204" s="10" t="s">
        <v>434</v>
      </c>
      <c r="D204" s="63" t="s">
        <v>366</v>
      </c>
      <c r="E204" s="115"/>
      <c r="F204" s="172"/>
      <c r="G204" s="173"/>
      <c r="H204" s="135"/>
      <c r="I204" s="11">
        <f>SUM(I206:I211)</f>
        <v>0</v>
      </c>
      <c r="J204" s="68"/>
      <c r="K204" s="69"/>
      <c r="L204" s="11">
        <f>SUM(L205)</f>
        <v>780633</v>
      </c>
      <c r="M204" s="314"/>
      <c r="N204" s="315"/>
      <c r="O204" s="11">
        <f>SUM(O205)</f>
        <v>0</v>
      </c>
      <c r="P204" s="350"/>
      <c r="Q204" s="350"/>
      <c r="R204" s="11">
        <f>SUM(R205)</f>
        <v>0</v>
      </c>
      <c r="S204" s="66"/>
      <c r="T204" s="13">
        <f>SUM(T205)</f>
        <v>780633</v>
      </c>
      <c r="U204" s="13">
        <f>SUM(U205)</f>
        <v>0</v>
      </c>
      <c r="V204" s="404"/>
    </row>
    <row r="205" spans="1:22" ht="27.6" x14ac:dyDescent="0.3">
      <c r="A205" s="14" t="s">
        <v>435</v>
      </c>
      <c r="B205" s="102"/>
      <c r="C205" s="15" t="s">
        <v>339</v>
      </c>
      <c r="D205" s="47" t="s">
        <v>366</v>
      </c>
      <c r="E205" s="127"/>
      <c r="F205" s="169"/>
      <c r="G205" s="170"/>
      <c r="H205" s="132">
        <v>780633</v>
      </c>
      <c r="I205" s="46"/>
      <c r="J205" s="374">
        <v>1</v>
      </c>
      <c r="K205" s="70"/>
      <c r="L205" s="24">
        <f>ROUND(+J205*H205+K205*H205,0)</f>
        <v>780633</v>
      </c>
      <c r="M205" s="311">
        <v>0</v>
      </c>
      <c r="N205" s="311">
        <v>0</v>
      </c>
      <c r="O205" s="19">
        <f t="shared" si="84"/>
        <v>0</v>
      </c>
      <c r="P205" s="17">
        <v>0</v>
      </c>
      <c r="Q205" s="380">
        <v>0</v>
      </c>
      <c r="R205" s="19">
        <f t="shared" ref="R205" si="90">ROUND(+P205*H205+Q205*H205,0)</f>
        <v>0</v>
      </c>
      <c r="S205" s="259">
        <f t="shared" si="86"/>
        <v>1</v>
      </c>
      <c r="T205" s="51">
        <f>ROUND(H205*S205,0)</f>
        <v>780633</v>
      </c>
      <c r="U205" s="51"/>
      <c r="V205" s="403"/>
    </row>
    <row r="206" spans="1:22" ht="14.4" x14ac:dyDescent="0.3">
      <c r="A206" s="5" t="s">
        <v>436</v>
      </c>
      <c r="B206" s="62"/>
      <c r="C206" s="10" t="s">
        <v>437</v>
      </c>
      <c r="D206" s="63" t="s">
        <v>438</v>
      </c>
      <c r="E206" s="115"/>
      <c r="F206" s="172"/>
      <c r="G206" s="173"/>
      <c r="H206" s="135"/>
      <c r="I206" s="11">
        <f>SUM(I208:I233)</f>
        <v>0</v>
      </c>
      <c r="J206" s="68"/>
      <c r="K206" s="69"/>
      <c r="L206" s="11">
        <f>SUM(L207:L208)</f>
        <v>10045863</v>
      </c>
      <c r="M206" s="314"/>
      <c r="N206" s="315"/>
      <c r="O206" s="11">
        <f>SUM(O207:O208)</f>
        <v>0</v>
      </c>
      <c r="P206" s="350"/>
      <c r="Q206" s="350"/>
      <c r="R206" s="11">
        <f>SUM(R207:R208)</f>
        <v>0</v>
      </c>
      <c r="S206" s="66"/>
      <c r="T206" s="13">
        <f>SUM(T207:T208)</f>
        <v>10045863</v>
      </c>
      <c r="U206" s="13">
        <f>SUM(U207:U208)</f>
        <v>0</v>
      </c>
      <c r="V206" s="404"/>
    </row>
    <row r="207" spans="1:22" ht="14.4" x14ac:dyDescent="0.3">
      <c r="A207" s="14" t="s">
        <v>439</v>
      </c>
      <c r="B207" s="102"/>
      <c r="C207" s="15" t="s">
        <v>440</v>
      </c>
      <c r="D207" s="47" t="s">
        <v>366</v>
      </c>
      <c r="E207" s="127"/>
      <c r="F207" s="169"/>
      <c r="G207" s="170"/>
      <c r="H207" s="132">
        <v>3719400</v>
      </c>
      <c r="I207" s="46"/>
      <c r="J207" s="374">
        <v>2</v>
      </c>
      <c r="K207" s="70"/>
      <c r="L207" s="24">
        <f>ROUND(+J207*H207+K207*H207,0)</f>
        <v>7438800</v>
      </c>
      <c r="M207" s="311">
        <v>0</v>
      </c>
      <c r="N207" s="311">
        <v>0</v>
      </c>
      <c r="O207" s="19">
        <f t="shared" si="84"/>
        <v>0</v>
      </c>
      <c r="P207" s="17">
        <v>0</v>
      </c>
      <c r="Q207" s="380">
        <v>0</v>
      </c>
      <c r="R207" s="19">
        <f t="shared" ref="R207:R208" si="91">ROUND(+P207*H207+Q207*H207,0)</f>
        <v>0</v>
      </c>
      <c r="S207" s="259">
        <f t="shared" si="86"/>
        <v>2</v>
      </c>
      <c r="T207" s="51">
        <f>ROUND(H207*S207,0)</f>
        <v>7438800</v>
      </c>
      <c r="U207" s="51"/>
      <c r="V207" s="403"/>
    </row>
    <row r="208" spans="1:22" ht="14.4" x14ac:dyDescent="0.3">
      <c r="A208" s="14" t="s">
        <v>441</v>
      </c>
      <c r="B208" s="102"/>
      <c r="C208" s="15" t="s">
        <v>442</v>
      </c>
      <c r="D208" s="47" t="s">
        <v>366</v>
      </c>
      <c r="E208" s="127"/>
      <c r="F208" s="169"/>
      <c r="G208" s="170"/>
      <c r="H208" s="132">
        <v>2607063</v>
      </c>
      <c r="I208" s="46"/>
      <c r="J208" s="374">
        <v>1</v>
      </c>
      <c r="K208" s="70"/>
      <c r="L208" s="24">
        <f>ROUND(+J208*H208+K208*H208,0)</f>
        <v>2607063</v>
      </c>
      <c r="M208" s="311">
        <v>0</v>
      </c>
      <c r="N208" s="311">
        <v>0</v>
      </c>
      <c r="O208" s="19">
        <f t="shared" si="84"/>
        <v>0</v>
      </c>
      <c r="P208" s="17">
        <v>0</v>
      </c>
      <c r="Q208" s="380">
        <v>0</v>
      </c>
      <c r="R208" s="19">
        <f t="shared" si="91"/>
        <v>0</v>
      </c>
      <c r="S208" s="259">
        <f t="shared" si="86"/>
        <v>1</v>
      </c>
      <c r="T208" s="51">
        <f>ROUND(H208*S208,0)</f>
        <v>2607063</v>
      </c>
      <c r="U208" s="51"/>
      <c r="V208" s="403"/>
    </row>
    <row r="209" spans="1:22" ht="14.4" x14ac:dyDescent="0.3">
      <c r="A209" s="5" t="s">
        <v>443</v>
      </c>
      <c r="B209" s="6"/>
      <c r="C209" s="10" t="s">
        <v>444</v>
      </c>
      <c r="D209" s="63" t="s">
        <v>91</v>
      </c>
      <c r="E209" s="115"/>
      <c r="F209" s="172"/>
      <c r="G209" s="173"/>
      <c r="H209" s="135"/>
      <c r="I209" s="71"/>
      <c r="J209" s="68"/>
      <c r="K209" s="69"/>
      <c r="L209" s="11">
        <f>SUM(L210)</f>
        <v>94385612</v>
      </c>
      <c r="M209" s="314"/>
      <c r="N209" s="315"/>
      <c r="O209" s="11">
        <f>SUM(O210)</f>
        <v>0</v>
      </c>
      <c r="P209" s="350"/>
      <c r="Q209" s="350"/>
      <c r="R209" s="11">
        <f>SUM(R210)</f>
        <v>0</v>
      </c>
      <c r="S209" s="66"/>
      <c r="T209" s="11">
        <f>SUM(T210)</f>
        <v>94385612</v>
      </c>
      <c r="U209" s="11">
        <f>SUM(U210)</f>
        <v>0</v>
      </c>
      <c r="V209" s="404"/>
    </row>
    <row r="210" spans="1:22" ht="14.4" x14ac:dyDescent="0.3">
      <c r="A210" s="14" t="s">
        <v>445</v>
      </c>
      <c r="B210" s="102"/>
      <c r="C210" s="15" t="s">
        <v>446</v>
      </c>
      <c r="D210" s="47" t="s">
        <v>91</v>
      </c>
      <c r="E210" s="127"/>
      <c r="F210" s="169"/>
      <c r="G210" s="170"/>
      <c r="H210" s="132">
        <v>220000</v>
      </c>
      <c r="I210" s="46"/>
      <c r="J210" s="375">
        <v>429.02550862330344</v>
      </c>
      <c r="K210" s="70"/>
      <c r="L210" s="24">
        <f>ROUND(+J210*H210+K210*H210,0)</f>
        <v>94385612</v>
      </c>
      <c r="M210" s="311">
        <v>0</v>
      </c>
      <c r="N210" s="311">
        <v>0</v>
      </c>
      <c r="O210" s="19">
        <f t="shared" si="84"/>
        <v>0</v>
      </c>
      <c r="P210" s="17">
        <v>0</v>
      </c>
      <c r="Q210" s="358">
        <v>0</v>
      </c>
      <c r="R210" s="19">
        <f t="shared" ref="R210" si="92">ROUND(+P210*H210+Q210*H210,0)</f>
        <v>0</v>
      </c>
      <c r="S210" s="259">
        <f t="shared" si="86"/>
        <v>429.02550862330344</v>
      </c>
      <c r="T210" s="51">
        <f>ROUND(H210*J210,0)</f>
        <v>94385612</v>
      </c>
      <c r="U210" s="51"/>
      <c r="V210" s="403"/>
    </row>
    <row r="211" spans="1:22" ht="14.4" x14ac:dyDescent="0.3">
      <c r="A211" s="5" t="s">
        <v>447</v>
      </c>
      <c r="B211" s="6"/>
      <c r="C211" s="10" t="s">
        <v>448</v>
      </c>
      <c r="D211" s="63" t="s">
        <v>91</v>
      </c>
      <c r="E211" s="115"/>
      <c r="F211" s="172"/>
      <c r="G211" s="173"/>
      <c r="H211" s="135"/>
      <c r="I211" s="71"/>
      <c r="J211" s="68"/>
      <c r="K211" s="69"/>
      <c r="L211" s="11">
        <f>SUM(L212:L213)</f>
        <v>21856059</v>
      </c>
      <c r="M211" s="314"/>
      <c r="N211" s="315"/>
      <c r="O211" s="11">
        <f>SUM(O212:O213)</f>
        <v>-17533863</v>
      </c>
      <c r="P211" s="350"/>
      <c r="Q211" s="350"/>
      <c r="R211" s="11">
        <f>SUM(R212:R213)</f>
        <v>0</v>
      </c>
      <c r="S211" s="66"/>
      <c r="T211" s="13">
        <f>SUM(T212:T213)</f>
        <v>4322196</v>
      </c>
      <c r="U211" s="13">
        <f>SUM(U212:U213)</f>
        <v>0</v>
      </c>
      <c r="V211" s="404"/>
    </row>
    <row r="212" spans="1:22" ht="27.6" x14ac:dyDescent="0.3">
      <c r="A212" s="14" t="s">
        <v>449</v>
      </c>
      <c r="B212" s="58"/>
      <c r="C212" s="25" t="s">
        <v>450</v>
      </c>
      <c r="D212" s="47" t="s">
        <v>91</v>
      </c>
      <c r="E212" s="124"/>
      <c r="F212" s="176"/>
      <c r="G212" s="177"/>
      <c r="H212" s="132">
        <v>1423758</v>
      </c>
      <c r="I212" s="46"/>
      <c r="J212" s="374">
        <v>7.63</v>
      </c>
      <c r="K212" s="70"/>
      <c r="L212" s="24">
        <f>ROUND(+J212*H212+K212*H212,0)</f>
        <v>10863274</v>
      </c>
      <c r="M212" s="311">
        <v>0</v>
      </c>
      <c r="N212" s="378">
        <v>-7.63</v>
      </c>
      <c r="O212" s="19">
        <f t="shared" si="84"/>
        <v>-10863274</v>
      </c>
      <c r="P212" s="17">
        <v>0</v>
      </c>
      <c r="Q212" s="358">
        <v>0</v>
      </c>
      <c r="R212" s="19">
        <f t="shared" ref="R212:R213" si="93">ROUND(+P212*H212+Q212*H212,0)</f>
        <v>0</v>
      </c>
      <c r="S212" s="259">
        <f t="shared" si="86"/>
        <v>0</v>
      </c>
      <c r="T212" s="51">
        <f>ROUND(H212*S212,0)</f>
        <v>0</v>
      </c>
      <c r="U212" s="51"/>
      <c r="V212" s="403"/>
    </row>
    <row r="213" spans="1:22" ht="27.6" x14ac:dyDescent="0.3">
      <c r="A213" s="14" t="s">
        <v>451</v>
      </c>
      <c r="B213" s="102"/>
      <c r="C213" s="25" t="s">
        <v>452</v>
      </c>
      <c r="D213" s="47" t="s">
        <v>91</v>
      </c>
      <c r="E213" s="127"/>
      <c r="F213" s="169"/>
      <c r="G213" s="170"/>
      <c r="H213" s="132">
        <v>1440732</v>
      </c>
      <c r="I213" s="46"/>
      <c r="J213" s="374">
        <v>7.63</v>
      </c>
      <c r="K213" s="70"/>
      <c r="L213" s="24">
        <f>ROUND(+J213*H213+K213*H213,0)</f>
        <v>10992785</v>
      </c>
      <c r="M213" s="311">
        <v>0</v>
      </c>
      <c r="N213" s="378">
        <v>-4.63</v>
      </c>
      <c r="O213" s="19">
        <f>ROUND(+M213*H213+N213*H213,0)</f>
        <v>-6670589</v>
      </c>
      <c r="P213" s="17">
        <v>0</v>
      </c>
      <c r="Q213" s="358">
        <v>0</v>
      </c>
      <c r="R213" s="19">
        <f t="shared" si="93"/>
        <v>0</v>
      </c>
      <c r="S213" s="259">
        <f t="shared" si="86"/>
        <v>3</v>
      </c>
      <c r="T213" s="51">
        <f>ROUND(H213*S213,0)</f>
        <v>4322196</v>
      </c>
      <c r="U213" s="51"/>
      <c r="V213" s="403"/>
    </row>
    <row r="214" spans="1:22" ht="22.5" customHeight="1" x14ac:dyDescent="0.3">
      <c r="A214" s="5" t="s">
        <v>453</v>
      </c>
      <c r="B214" s="6"/>
      <c r="C214" s="10" t="s">
        <v>454</v>
      </c>
      <c r="D214" s="63" t="s">
        <v>455</v>
      </c>
      <c r="E214" s="115"/>
      <c r="F214" s="172"/>
      <c r="G214" s="173"/>
      <c r="H214" s="135"/>
      <c r="I214" s="71"/>
      <c r="J214" s="68"/>
      <c r="K214" s="69"/>
      <c r="L214" s="11">
        <f>SUM(L215:L222)</f>
        <v>102122460</v>
      </c>
      <c r="M214" s="314"/>
      <c r="N214" s="315"/>
      <c r="O214" s="11">
        <f>SUM(O215:O222)</f>
        <v>194694279</v>
      </c>
      <c r="P214" s="350"/>
      <c r="Q214" s="350"/>
      <c r="R214" s="11">
        <f>SUM(R215:R222)</f>
        <v>0</v>
      </c>
      <c r="S214" s="66"/>
      <c r="T214" s="13">
        <f>SUM(T215:T222)</f>
        <v>296816739</v>
      </c>
      <c r="U214" s="13">
        <f>SUM(U215:U233)</f>
        <v>0</v>
      </c>
      <c r="V214" s="404"/>
    </row>
    <row r="215" spans="1:22" ht="28.2" customHeight="1" x14ac:dyDescent="0.3">
      <c r="A215" s="14" t="s">
        <v>456</v>
      </c>
      <c r="B215" s="102"/>
      <c r="C215" s="25" t="s">
        <v>561</v>
      </c>
      <c r="D215" s="59" t="s">
        <v>455</v>
      </c>
      <c r="E215" s="127"/>
      <c r="F215" s="169"/>
      <c r="G215" s="170"/>
      <c r="H215" s="132">
        <f>+'[8]APU CONCRETO CICPLOPEO '!$G$29</f>
        <v>49322</v>
      </c>
      <c r="I215" s="16"/>
      <c r="J215" s="366">
        <v>100</v>
      </c>
      <c r="K215" s="23"/>
      <c r="L215" s="24">
        <f t="shared" ref="L215:L222" si="94">ROUND(+J215*H215+K215*H215,0)</f>
        <v>4932200</v>
      </c>
      <c r="M215" s="366">
        <v>700</v>
      </c>
      <c r="N215" s="311">
        <v>0</v>
      </c>
      <c r="O215" s="19">
        <f>ROUND(+M215*H215+N215*H215,0)</f>
        <v>34525400</v>
      </c>
      <c r="P215" s="17">
        <v>0</v>
      </c>
      <c r="Q215" s="358">
        <v>0</v>
      </c>
      <c r="R215" s="19">
        <f t="shared" ref="R215:R222" si="95">ROUND(+P215*H215+Q215*H215,0)</f>
        <v>0</v>
      </c>
      <c r="S215" s="259">
        <f t="shared" si="86"/>
        <v>800</v>
      </c>
      <c r="T215" s="51">
        <f t="shared" ref="T215:T222" si="96">ROUND(H215*S215,0)</f>
        <v>39457600</v>
      </c>
      <c r="U215" s="51"/>
      <c r="V215" s="403"/>
    </row>
    <row r="216" spans="1:22" ht="28.2" customHeight="1" x14ac:dyDescent="0.3">
      <c r="A216" s="14" t="s">
        <v>457</v>
      </c>
      <c r="B216" s="102"/>
      <c r="C216" s="25" t="s">
        <v>562</v>
      </c>
      <c r="D216" s="59" t="s">
        <v>455</v>
      </c>
      <c r="E216" s="127"/>
      <c r="F216" s="169"/>
      <c r="G216" s="170"/>
      <c r="H216" s="132">
        <v>54118</v>
      </c>
      <c r="I216" s="16"/>
      <c r="J216" s="366">
        <v>0</v>
      </c>
      <c r="K216" s="23"/>
      <c r="L216" s="24">
        <f t="shared" si="94"/>
        <v>0</v>
      </c>
      <c r="M216" s="366">
        <v>946.93963448081445</v>
      </c>
      <c r="N216" s="311">
        <v>0</v>
      </c>
      <c r="O216" s="19">
        <f>ROUND(+M216*H216+N216*H216,0)</f>
        <v>51246479</v>
      </c>
      <c r="P216" s="17">
        <v>0</v>
      </c>
      <c r="Q216" s="358">
        <v>0</v>
      </c>
      <c r="R216" s="19">
        <f t="shared" si="95"/>
        <v>0</v>
      </c>
      <c r="S216" s="259">
        <f t="shared" si="86"/>
        <v>946.93963448081445</v>
      </c>
      <c r="T216" s="51">
        <f t="shared" si="96"/>
        <v>51246479</v>
      </c>
      <c r="U216" s="51"/>
      <c r="V216" s="403"/>
    </row>
    <row r="217" spans="1:22" ht="28.2" customHeight="1" x14ac:dyDescent="0.3">
      <c r="A217" s="14" t="s">
        <v>458</v>
      </c>
      <c r="B217" s="102"/>
      <c r="C217" s="25" t="s">
        <v>563</v>
      </c>
      <c r="D217" s="59" t="s">
        <v>455</v>
      </c>
      <c r="E217" s="127"/>
      <c r="F217" s="169"/>
      <c r="G217" s="170"/>
      <c r="H217" s="132">
        <f>+'[8]APU CONCRETO CICPLOPEO '!$G$68</f>
        <v>46421</v>
      </c>
      <c r="I217" s="16"/>
      <c r="J217" s="366">
        <v>150</v>
      </c>
      <c r="K217" s="23"/>
      <c r="L217" s="24">
        <f t="shared" si="94"/>
        <v>6963150</v>
      </c>
      <c r="M217" s="366">
        <v>900</v>
      </c>
      <c r="N217" s="311">
        <v>0</v>
      </c>
      <c r="O217" s="19">
        <f t="shared" si="84"/>
        <v>41778900</v>
      </c>
      <c r="P217" s="17">
        <v>0</v>
      </c>
      <c r="Q217" s="358">
        <v>0</v>
      </c>
      <c r="R217" s="19">
        <f t="shared" si="95"/>
        <v>0</v>
      </c>
      <c r="S217" s="259">
        <f t="shared" si="86"/>
        <v>1050</v>
      </c>
      <c r="T217" s="51">
        <f t="shared" si="96"/>
        <v>48742050</v>
      </c>
      <c r="U217" s="51"/>
      <c r="V217" s="403"/>
    </row>
    <row r="218" spans="1:22" ht="28.2" customHeight="1" x14ac:dyDescent="0.3">
      <c r="A218" s="14" t="s">
        <v>459</v>
      </c>
      <c r="B218" s="102"/>
      <c r="C218" s="25" t="s">
        <v>564</v>
      </c>
      <c r="D218" s="59" t="s">
        <v>455</v>
      </c>
      <c r="E218" s="127"/>
      <c r="F218" s="169"/>
      <c r="G218" s="170"/>
      <c r="H218" s="132">
        <f>+'[8]APU CONCRETO CICPLOPEO '!$G$106</f>
        <v>45868</v>
      </c>
      <c r="I218" s="16"/>
      <c r="J218" s="366">
        <v>340</v>
      </c>
      <c r="K218" s="23"/>
      <c r="L218" s="24">
        <f t="shared" si="94"/>
        <v>15595120</v>
      </c>
      <c r="M218" s="366">
        <v>400</v>
      </c>
      <c r="N218" s="311">
        <v>0</v>
      </c>
      <c r="O218" s="19">
        <f>ROUND(+M218*H218+N218*H218,0)</f>
        <v>18347200</v>
      </c>
      <c r="P218" s="17">
        <v>0</v>
      </c>
      <c r="Q218" s="358">
        <v>0</v>
      </c>
      <c r="R218" s="19">
        <f t="shared" si="95"/>
        <v>0</v>
      </c>
      <c r="S218" s="259">
        <f t="shared" si="86"/>
        <v>740</v>
      </c>
      <c r="T218" s="51">
        <f t="shared" si="96"/>
        <v>33942320</v>
      </c>
      <c r="U218" s="51"/>
      <c r="V218" s="403"/>
    </row>
    <row r="219" spans="1:22" ht="28.2" customHeight="1" x14ac:dyDescent="0.3">
      <c r="A219" s="14" t="s">
        <v>460</v>
      </c>
      <c r="B219" s="102"/>
      <c r="C219" s="25" t="s">
        <v>565</v>
      </c>
      <c r="D219" s="59" t="s">
        <v>455</v>
      </c>
      <c r="E219" s="127"/>
      <c r="F219" s="169"/>
      <c r="G219" s="170"/>
      <c r="H219" s="132">
        <f>+'[8]APU CONCRETO CICPLOPEO '!$G$147</f>
        <v>49038</v>
      </c>
      <c r="I219" s="16"/>
      <c r="J219" s="366">
        <v>400</v>
      </c>
      <c r="K219" s="23"/>
      <c r="L219" s="24">
        <f t="shared" si="94"/>
        <v>19615200</v>
      </c>
      <c r="M219" s="366">
        <v>300</v>
      </c>
      <c r="N219" s="311">
        <v>0</v>
      </c>
      <c r="O219" s="19">
        <f t="shared" si="84"/>
        <v>14711400</v>
      </c>
      <c r="P219" s="17">
        <v>0</v>
      </c>
      <c r="Q219" s="358">
        <v>0</v>
      </c>
      <c r="R219" s="19">
        <f t="shared" si="95"/>
        <v>0</v>
      </c>
      <c r="S219" s="259">
        <f t="shared" si="86"/>
        <v>700</v>
      </c>
      <c r="T219" s="51">
        <f t="shared" si="96"/>
        <v>34326600</v>
      </c>
      <c r="U219" s="51"/>
      <c r="V219" s="403"/>
    </row>
    <row r="220" spans="1:22" ht="28.2" customHeight="1" x14ac:dyDescent="0.3">
      <c r="A220" s="14" t="s">
        <v>461</v>
      </c>
      <c r="B220" s="102"/>
      <c r="C220" s="25" t="s">
        <v>566</v>
      </c>
      <c r="D220" s="59" t="s">
        <v>455</v>
      </c>
      <c r="E220" s="127"/>
      <c r="F220" s="169"/>
      <c r="G220" s="170"/>
      <c r="H220" s="132">
        <f>+'[8]APU CONCRETO CICPLOPEO '!$G$183</f>
        <v>47689</v>
      </c>
      <c r="I220" s="16"/>
      <c r="J220" s="366">
        <v>290</v>
      </c>
      <c r="K220" s="23"/>
      <c r="L220" s="24">
        <f t="shared" si="94"/>
        <v>13829810</v>
      </c>
      <c r="M220" s="366">
        <v>500</v>
      </c>
      <c r="N220" s="311">
        <v>0</v>
      </c>
      <c r="O220" s="19">
        <f t="shared" si="84"/>
        <v>23844500</v>
      </c>
      <c r="P220" s="17">
        <v>0</v>
      </c>
      <c r="Q220" s="358">
        <v>0</v>
      </c>
      <c r="R220" s="19">
        <f t="shared" si="95"/>
        <v>0</v>
      </c>
      <c r="S220" s="259">
        <f t="shared" si="86"/>
        <v>790</v>
      </c>
      <c r="T220" s="51">
        <f t="shared" si="96"/>
        <v>37674310</v>
      </c>
      <c r="U220" s="51"/>
      <c r="V220" s="403"/>
    </row>
    <row r="221" spans="1:22" ht="28.2" customHeight="1" x14ac:dyDescent="0.3">
      <c r="A221" s="14" t="s">
        <v>462</v>
      </c>
      <c r="B221" s="102"/>
      <c r="C221" s="25" t="s">
        <v>567</v>
      </c>
      <c r="D221" s="59" t="s">
        <v>455</v>
      </c>
      <c r="E221" s="127"/>
      <c r="F221" s="169"/>
      <c r="G221" s="170"/>
      <c r="H221" s="132">
        <f>+'[8]APU CONCRETO CICPLOPEO '!$G$221</f>
        <v>57797</v>
      </c>
      <c r="I221" s="16"/>
      <c r="J221" s="366">
        <v>500</v>
      </c>
      <c r="K221" s="23"/>
      <c r="L221" s="24">
        <f t="shared" si="94"/>
        <v>28898500</v>
      </c>
      <c r="M221" s="311">
        <v>0</v>
      </c>
      <c r="N221" s="311">
        <v>0</v>
      </c>
      <c r="O221" s="19">
        <f t="shared" si="84"/>
        <v>0</v>
      </c>
      <c r="P221" s="17">
        <v>0</v>
      </c>
      <c r="Q221" s="358">
        <v>0</v>
      </c>
      <c r="R221" s="19">
        <f t="shared" si="95"/>
        <v>0</v>
      </c>
      <c r="S221" s="259">
        <f t="shared" si="86"/>
        <v>500</v>
      </c>
      <c r="T221" s="51">
        <f t="shared" si="96"/>
        <v>28898500</v>
      </c>
      <c r="U221" s="51"/>
      <c r="V221" s="403"/>
    </row>
    <row r="222" spans="1:22" ht="28.2" customHeight="1" x14ac:dyDescent="0.3">
      <c r="A222" s="14" t="s">
        <v>559</v>
      </c>
      <c r="B222" s="102"/>
      <c r="C222" s="25" t="s">
        <v>568</v>
      </c>
      <c r="D222" s="59" t="s">
        <v>455</v>
      </c>
      <c r="E222" s="127"/>
      <c r="F222" s="169"/>
      <c r="G222" s="170"/>
      <c r="H222" s="132">
        <f>+'[8]APU CONCRETO CICPLOPEO '!$G$258</f>
        <v>51202</v>
      </c>
      <c r="I222" s="16"/>
      <c r="J222" s="366">
        <v>240</v>
      </c>
      <c r="K222" s="23"/>
      <c r="L222" s="24">
        <f t="shared" si="94"/>
        <v>12288480</v>
      </c>
      <c r="M222" s="366">
        <v>200</v>
      </c>
      <c r="N222" s="311">
        <v>0</v>
      </c>
      <c r="O222" s="19">
        <f t="shared" si="84"/>
        <v>10240400</v>
      </c>
      <c r="P222" s="17">
        <v>0</v>
      </c>
      <c r="Q222" s="358">
        <v>0</v>
      </c>
      <c r="R222" s="19">
        <f t="shared" si="95"/>
        <v>0</v>
      </c>
      <c r="S222" s="259">
        <f t="shared" si="86"/>
        <v>440</v>
      </c>
      <c r="T222" s="51">
        <f t="shared" si="96"/>
        <v>22528880</v>
      </c>
      <c r="U222" s="51"/>
      <c r="V222" s="403"/>
    </row>
    <row r="223" spans="1:22" ht="25.5" customHeight="1" x14ac:dyDescent="0.3">
      <c r="A223" s="317" t="s">
        <v>548</v>
      </c>
      <c r="B223" s="318">
        <v>672.3</v>
      </c>
      <c r="C223" s="319" t="s">
        <v>549</v>
      </c>
      <c r="D223" s="318" t="s">
        <v>152</v>
      </c>
      <c r="E223" s="320"/>
      <c r="F223" s="321"/>
      <c r="G223" s="322"/>
      <c r="H223" s="323"/>
      <c r="I223" s="330"/>
      <c r="J223" s="324"/>
      <c r="K223" s="325"/>
      <c r="L223" s="331"/>
      <c r="M223" s="324"/>
      <c r="N223" s="324"/>
      <c r="O223" s="333">
        <f>SUM(O224:O232)</f>
        <v>2068483495</v>
      </c>
      <c r="P223" s="351"/>
      <c r="Q223" s="351"/>
      <c r="R223" s="333">
        <f>SUM(R224:R232)</f>
        <v>0</v>
      </c>
      <c r="S223" s="326"/>
      <c r="T223" s="333">
        <f>SUM(T224:T232)</f>
        <v>2068483495</v>
      </c>
      <c r="U223" s="327"/>
      <c r="V223" s="406"/>
    </row>
    <row r="224" spans="1:22" ht="14.4" x14ac:dyDescent="0.3">
      <c r="A224" s="14" t="s">
        <v>153</v>
      </c>
      <c r="B224" s="484">
        <v>672.3</v>
      </c>
      <c r="C224" s="21" t="s">
        <v>550</v>
      </c>
      <c r="D224" s="102" t="s">
        <v>152</v>
      </c>
      <c r="E224" s="464">
        <v>57439</v>
      </c>
      <c r="F224" s="465"/>
      <c r="G224" s="465"/>
      <c r="H224" s="465"/>
      <c r="I224" s="16"/>
      <c r="J224" s="311"/>
      <c r="K224" s="23"/>
      <c r="L224" s="24"/>
      <c r="M224" s="367">
        <v>3826.15</v>
      </c>
      <c r="N224" s="329"/>
      <c r="O224" s="19">
        <f>ROUND(M224*E224+N224*E224,0)</f>
        <v>219770230</v>
      </c>
      <c r="P224" s="17">
        <v>0</v>
      </c>
      <c r="Q224" s="358">
        <v>0</v>
      </c>
      <c r="R224" s="19">
        <f t="shared" ref="R224:R232" si="97">ROUND(+P224*H224+Q224*H224,0)</f>
        <v>0</v>
      </c>
      <c r="S224" s="259">
        <f>+J224+K224+M224+N224+P224+Q224</f>
        <v>3826.15</v>
      </c>
      <c r="T224" s="51">
        <f t="shared" ref="T224:T232" si="98">ROUND(E224*S224,0)</f>
        <v>219770230</v>
      </c>
      <c r="U224" s="328"/>
      <c r="V224" s="403"/>
    </row>
    <row r="225" spans="1:40" ht="14.4" x14ac:dyDescent="0.3">
      <c r="A225" s="14" t="s">
        <v>155</v>
      </c>
      <c r="B225" s="485"/>
      <c r="C225" s="25" t="s">
        <v>551</v>
      </c>
      <c r="D225" s="102" t="s">
        <v>152</v>
      </c>
      <c r="E225" s="464">
        <v>67280</v>
      </c>
      <c r="F225" s="465"/>
      <c r="G225" s="465"/>
      <c r="H225" s="465"/>
      <c r="I225" s="16"/>
      <c r="J225" s="311"/>
      <c r="K225" s="23"/>
      <c r="L225" s="24"/>
      <c r="M225" s="367">
        <v>3796.33</v>
      </c>
      <c r="N225" s="329"/>
      <c r="O225" s="19">
        <f t="shared" ref="O225:O232" si="99">ROUND(M225*E225+N225*E225,0)</f>
        <v>255417082</v>
      </c>
      <c r="P225" s="17">
        <v>0</v>
      </c>
      <c r="Q225" s="358">
        <v>0</v>
      </c>
      <c r="R225" s="19">
        <f t="shared" si="97"/>
        <v>0</v>
      </c>
      <c r="S225" s="259">
        <f t="shared" ref="S225:S232" si="100">+J225+K225+M225+N225+P225+Q225</f>
        <v>3796.33</v>
      </c>
      <c r="T225" s="51">
        <f t="shared" si="98"/>
        <v>255417082</v>
      </c>
      <c r="U225" s="328"/>
      <c r="V225" s="403"/>
    </row>
    <row r="226" spans="1:40" ht="14.4" x14ac:dyDescent="0.3">
      <c r="A226" s="14" t="s">
        <v>157</v>
      </c>
      <c r="B226" s="485"/>
      <c r="C226" s="25" t="s">
        <v>552</v>
      </c>
      <c r="D226" s="102" t="s">
        <v>152</v>
      </c>
      <c r="E226" s="464">
        <v>59487</v>
      </c>
      <c r="F226" s="465"/>
      <c r="G226" s="465"/>
      <c r="H226" s="465"/>
      <c r="I226" s="16"/>
      <c r="J226" s="311"/>
      <c r="K226" s="23"/>
      <c r="L226" s="24"/>
      <c r="M226" s="367">
        <v>3622.94</v>
      </c>
      <c r="N226" s="329"/>
      <c r="O226" s="19">
        <f t="shared" si="99"/>
        <v>215517832</v>
      </c>
      <c r="P226" s="17">
        <v>0</v>
      </c>
      <c r="Q226" s="358">
        <v>0</v>
      </c>
      <c r="R226" s="19">
        <f t="shared" si="97"/>
        <v>0</v>
      </c>
      <c r="S226" s="259">
        <f t="shared" si="100"/>
        <v>3622.94</v>
      </c>
      <c r="T226" s="51">
        <f t="shared" si="98"/>
        <v>215517832</v>
      </c>
      <c r="U226" s="328"/>
      <c r="V226" s="403"/>
      <c r="AM226" s="343"/>
      <c r="AN226" s="343"/>
    </row>
    <row r="227" spans="1:40" s="343" customFormat="1" ht="14.4" x14ac:dyDescent="0.3">
      <c r="A227" s="14" t="s">
        <v>159</v>
      </c>
      <c r="B227" s="495"/>
      <c r="C227" s="25" t="s">
        <v>553</v>
      </c>
      <c r="D227" s="102" t="s">
        <v>152</v>
      </c>
      <c r="E227" s="466">
        <v>59472</v>
      </c>
      <c r="F227" s="467"/>
      <c r="G227" s="467"/>
      <c r="H227" s="467"/>
      <c r="I227" s="16"/>
      <c r="J227" s="311"/>
      <c r="K227" s="23"/>
      <c r="L227" s="345"/>
      <c r="M227" s="367">
        <v>3924.28</v>
      </c>
      <c r="N227" s="329"/>
      <c r="O227" s="346">
        <f t="shared" si="99"/>
        <v>233384780</v>
      </c>
      <c r="P227" s="17">
        <v>0</v>
      </c>
      <c r="Q227" s="358">
        <v>0</v>
      </c>
      <c r="R227" s="19">
        <f t="shared" si="97"/>
        <v>0</v>
      </c>
      <c r="S227" s="259">
        <f t="shared" si="100"/>
        <v>3924.28</v>
      </c>
      <c r="T227" s="51">
        <f t="shared" si="98"/>
        <v>233384780</v>
      </c>
      <c r="U227" s="328"/>
      <c r="V227" s="403"/>
      <c r="W227"/>
      <c r="X227"/>
      <c r="Y227"/>
      <c r="Z227"/>
      <c r="AA227"/>
      <c r="AB227"/>
      <c r="AC227"/>
      <c r="AD227"/>
      <c r="AE227"/>
      <c r="AF227"/>
      <c r="AM227"/>
      <c r="AN227"/>
    </row>
    <row r="228" spans="1:40" ht="14.4" x14ac:dyDescent="0.3">
      <c r="A228" s="14" t="s">
        <v>161</v>
      </c>
      <c r="B228" s="485"/>
      <c r="C228" s="25" t="s">
        <v>554</v>
      </c>
      <c r="D228" s="102" t="s">
        <v>152</v>
      </c>
      <c r="E228" s="464">
        <v>67072</v>
      </c>
      <c r="F228" s="465"/>
      <c r="G228" s="465"/>
      <c r="H228" s="465"/>
      <c r="I228" s="16"/>
      <c r="J228" s="311"/>
      <c r="K228" s="23"/>
      <c r="L228" s="24"/>
      <c r="M228" s="367">
        <v>2307.54</v>
      </c>
      <c r="N228" s="329"/>
      <c r="O228" s="19">
        <f t="shared" si="99"/>
        <v>154771323</v>
      </c>
      <c r="P228" s="17">
        <v>0</v>
      </c>
      <c r="Q228" s="358">
        <v>0</v>
      </c>
      <c r="R228" s="19">
        <f t="shared" si="97"/>
        <v>0</v>
      </c>
      <c r="S228" s="259">
        <f t="shared" si="100"/>
        <v>2307.54</v>
      </c>
      <c r="T228" s="51">
        <f t="shared" si="98"/>
        <v>154771323</v>
      </c>
      <c r="U228" s="328"/>
      <c r="V228" s="40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</row>
    <row r="229" spans="1:40" ht="14.4" x14ac:dyDescent="0.3">
      <c r="A229" s="14" t="s">
        <v>163</v>
      </c>
      <c r="B229" s="485"/>
      <c r="C229" s="25" t="s">
        <v>556</v>
      </c>
      <c r="D229" s="102" t="s">
        <v>152</v>
      </c>
      <c r="E229" s="464">
        <v>65368</v>
      </c>
      <c r="F229" s="465"/>
      <c r="G229" s="465"/>
      <c r="H229" s="465"/>
      <c r="I229" s="16"/>
      <c r="J229" s="311"/>
      <c r="K229" s="23"/>
      <c r="L229" s="24"/>
      <c r="M229" s="367">
        <v>3870.02</v>
      </c>
      <c r="N229" s="329"/>
      <c r="O229" s="19">
        <f t="shared" si="99"/>
        <v>252975467</v>
      </c>
      <c r="P229" s="17">
        <v>0</v>
      </c>
      <c r="Q229" s="358">
        <v>0</v>
      </c>
      <c r="R229" s="19">
        <f t="shared" si="97"/>
        <v>0</v>
      </c>
      <c r="S229" s="259">
        <f t="shared" si="100"/>
        <v>3870.02</v>
      </c>
      <c r="T229" s="51">
        <f t="shared" si="98"/>
        <v>252975467</v>
      </c>
      <c r="U229" s="328"/>
      <c r="V229" s="403"/>
    </row>
    <row r="230" spans="1:40" ht="14.4" x14ac:dyDescent="0.3">
      <c r="A230" s="14" t="s">
        <v>165</v>
      </c>
      <c r="B230" s="485"/>
      <c r="C230" s="25" t="s">
        <v>555</v>
      </c>
      <c r="D230" s="102" t="s">
        <v>152</v>
      </c>
      <c r="E230" s="464">
        <v>65029</v>
      </c>
      <c r="F230" s="465"/>
      <c r="G230" s="465"/>
      <c r="H230" s="465"/>
      <c r="I230" s="16"/>
      <c r="J230" s="311"/>
      <c r="K230" s="23"/>
      <c r="L230" s="24"/>
      <c r="M230" s="367">
        <v>3809.33</v>
      </c>
      <c r="N230" s="329"/>
      <c r="O230" s="19">
        <f t="shared" si="99"/>
        <v>247716921</v>
      </c>
      <c r="P230" s="17">
        <v>0</v>
      </c>
      <c r="Q230" s="358">
        <v>0</v>
      </c>
      <c r="R230" s="19">
        <f t="shared" si="97"/>
        <v>0</v>
      </c>
      <c r="S230" s="259">
        <f t="shared" si="100"/>
        <v>3809.33</v>
      </c>
      <c r="T230" s="51">
        <f t="shared" si="98"/>
        <v>247716921</v>
      </c>
      <c r="U230" s="328"/>
      <c r="V230" s="403"/>
    </row>
    <row r="231" spans="1:40" ht="14.4" x14ac:dyDescent="0.3">
      <c r="A231" s="14" t="s">
        <v>167</v>
      </c>
      <c r="B231" s="485"/>
      <c r="C231" s="25" t="s">
        <v>557</v>
      </c>
      <c r="D231" s="102" t="s">
        <v>152</v>
      </c>
      <c r="E231" s="464">
        <v>66665</v>
      </c>
      <c r="F231" s="465"/>
      <c r="G231" s="465"/>
      <c r="H231" s="465"/>
      <c r="I231" s="16"/>
      <c r="J231" s="311"/>
      <c r="K231" s="23"/>
      <c r="L231" s="24"/>
      <c r="M231" s="367">
        <v>3850</v>
      </c>
      <c r="N231" s="329"/>
      <c r="O231" s="19">
        <f t="shared" si="99"/>
        <v>256660250</v>
      </c>
      <c r="P231" s="17">
        <v>0</v>
      </c>
      <c r="Q231" s="358">
        <v>0</v>
      </c>
      <c r="R231" s="19">
        <f t="shared" si="97"/>
        <v>0</v>
      </c>
      <c r="S231" s="259">
        <f t="shared" si="100"/>
        <v>3850</v>
      </c>
      <c r="T231" s="51">
        <f t="shared" si="98"/>
        <v>256660250</v>
      </c>
      <c r="U231" s="328"/>
      <c r="V231" s="403"/>
    </row>
    <row r="232" spans="1:40" ht="14.4" x14ac:dyDescent="0.3">
      <c r="A232" s="48" t="s">
        <v>169</v>
      </c>
      <c r="B232" s="485"/>
      <c r="C232" s="45" t="s">
        <v>560</v>
      </c>
      <c r="D232" s="103" t="s">
        <v>152</v>
      </c>
      <c r="E232" s="496">
        <v>61238</v>
      </c>
      <c r="F232" s="497"/>
      <c r="G232" s="497"/>
      <c r="H232" s="497"/>
      <c r="I232" s="46"/>
      <c r="J232" s="383"/>
      <c r="K232" s="70"/>
      <c r="L232" s="384"/>
      <c r="M232" s="387">
        <v>3792.9</v>
      </c>
      <c r="N232" s="388"/>
      <c r="O232" s="389">
        <f t="shared" si="99"/>
        <v>232269610</v>
      </c>
      <c r="P232" s="390">
        <v>0</v>
      </c>
      <c r="Q232" s="391">
        <v>0</v>
      </c>
      <c r="R232" s="389">
        <f t="shared" si="97"/>
        <v>0</v>
      </c>
      <c r="S232" s="395">
        <f t="shared" si="100"/>
        <v>3792.9</v>
      </c>
      <c r="T232" s="51">
        <f t="shared" si="98"/>
        <v>232269610</v>
      </c>
      <c r="U232" s="328"/>
      <c r="V232" s="403"/>
    </row>
    <row r="233" spans="1:40" ht="9" customHeight="1" x14ac:dyDescent="0.3">
      <c r="A233" s="224"/>
      <c r="B233" s="72"/>
      <c r="C233" s="73"/>
      <c r="D233" s="74"/>
      <c r="E233" s="179"/>
      <c r="F233" s="178"/>
      <c r="G233" s="170"/>
      <c r="H233" s="382"/>
      <c r="I233" s="16"/>
      <c r="J233" s="385"/>
      <c r="K233" s="23"/>
      <c r="L233" s="24"/>
      <c r="M233" s="385"/>
      <c r="N233" s="397"/>
      <c r="O233" s="24"/>
      <c r="P233" s="392"/>
      <c r="Q233" s="398"/>
      <c r="R233" s="386"/>
      <c r="S233" s="396"/>
      <c r="T233" s="225"/>
      <c r="U233" s="225"/>
      <c r="V233" s="403"/>
    </row>
    <row r="234" spans="1:40" thickBot="1" x14ac:dyDescent="0.35">
      <c r="A234" s="522" t="s">
        <v>463</v>
      </c>
      <c r="B234" s="523"/>
      <c r="C234" s="523"/>
      <c r="D234" s="523"/>
      <c r="E234" s="524"/>
      <c r="F234" s="117"/>
      <c r="G234" s="75">
        <f>ROUND((G5+G96+G167+G178+G189),0)</f>
        <v>18585962170</v>
      </c>
      <c r="H234" s="117"/>
      <c r="I234" s="75">
        <f>ROUND((I5+I96+I167+I178+I189),0)</f>
        <v>18583834729</v>
      </c>
      <c r="J234" s="76"/>
      <c r="K234" s="77"/>
      <c r="L234" s="75">
        <f>ROUND((L5+L96+L167+L178+L189),0)</f>
        <v>-267256712</v>
      </c>
      <c r="M234" s="76"/>
      <c r="N234" s="77"/>
      <c r="O234" s="75">
        <f>ROUND((O5+O96+O167+O178+O189),0)</f>
        <v>-67963311</v>
      </c>
      <c r="P234" s="393"/>
      <c r="Q234" s="352"/>
      <c r="R234" s="75">
        <f>ROUND((R5+R96+R167+R178+R189),0)</f>
        <v>-31367682</v>
      </c>
      <c r="S234" s="78"/>
      <c r="T234" s="75">
        <f>ROUND((T5+T96+T167+T178+T189),0)</f>
        <v>18217247030</v>
      </c>
      <c r="U234" s="394">
        <f>ROUND((U5+U96+U167+U178+U189),0)</f>
        <v>13455039733</v>
      </c>
      <c r="V234" s="407"/>
      <c r="AM234" s="264"/>
      <c r="AN234" s="264"/>
    </row>
    <row r="235" spans="1:40" s="264" customFormat="1" ht="14.25" customHeight="1" x14ac:dyDescent="0.3">
      <c r="A235" s="487" t="s">
        <v>464</v>
      </c>
      <c r="B235" s="488"/>
      <c r="C235" s="488"/>
      <c r="D235" s="488"/>
      <c r="E235" s="488"/>
      <c r="F235" s="262">
        <v>0.22951199999999999</v>
      </c>
      <c r="G235" s="263">
        <f>+$G$234*F235</f>
        <v>4265701349.5610399</v>
      </c>
      <c r="I235" s="265">
        <f>ROUND($I$234*F235,0)</f>
        <v>4265213076</v>
      </c>
      <c r="J235" s="266"/>
      <c r="K235" s="267"/>
      <c r="L235" s="265">
        <f>ROUND($L$234*F235,0)</f>
        <v>-61338622</v>
      </c>
      <c r="M235" s="266"/>
      <c r="N235" s="267"/>
      <c r="O235" s="265">
        <f>ROUND($O$234*F235,0)</f>
        <v>-15598395</v>
      </c>
      <c r="P235" s="353"/>
      <c r="Q235" s="353"/>
      <c r="R235" s="265">
        <f>ROUND(R234*F235,0)</f>
        <v>-7199259</v>
      </c>
      <c r="S235" s="268"/>
      <c r="T235" s="269">
        <f>ROUND($T$234*F235,0)</f>
        <v>4181076800</v>
      </c>
      <c r="U235" s="265">
        <f>ROUND($U$234*F235,0)</f>
        <v>3088093079</v>
      </c>
      <c r="V235" s="408"/>
      <c r="W235"/>
      <c r="X235"/>
      <c r="Y235"/>
      <c r="Z235"/>
      <c r="AA235"/>
      <c r="AB235"/>
      <c r="AC235"/>
      <c r="AD235"/>
      <c r="AE235"/>
      <c r="AF235"/>
    </row>
    <row r="236" spans="1:40" s="264" customFormat="1" ht="15" customHeight="1" x14ac:dyDescent="0.3">
      <c r="A236" s="457" t="s">
        <v>465</v>
      </c>
      <c r="B236" s="458"/>
      <c r="C236" s="458"/>
      <c r="D236" s="458"/>
      <c r="E236" s="458"/>
      <c r="F236" s="270">
        <v>0.01</v>
      </c>
      <c r="G236" s="271">
        <f t="shared" ref="G236:G237" si="101">+$G$234*F236</f>
        <v>185859621.70000002</v>
      </c>
      <c r="H236" s="272"/>
      <c r="I236" s="273">
        <f>ROUND($I$234*F236,0)</f>
        <v>185838347</v>
      </c>
      <c r="J236" s="274"/>
      <c r="K236" s="275"/>
      <c r="L236" s="273">
        <f>ROUND($L$234*F236,0)</f>
        <v>-2672567</v>
      </c>
      <c r="M236" s="274"/>
      <c r="N236" s="275"/>
      <c r="O236" s="265">
        <f t="shared" ref="O236:O238" si="102">ROUND($O$234*F236,0)</f>
        <v>-679633</v>
      </c>
      <c r="P236" s="353"/>
      <c r="Q236" s="353"/>
      <c r="R236" s="265">
        <f>ROUND(R234*F236,0)</f>
        <v>-313677</v>
      </c>
      <c r="S236" s="276"/>
      <c r="T236" s="277">
        <f>ROUND($T$234*F236,0)</f>
        <v>182172470</v>
      </c>
      <c r="U236" s="265">
        <f>ROUND($U$234*F236,0)</f>
        <v>134550397</v>
      </c>
      <c r="V236" s="408"/>
    </row>
    <row r="237" spans="1:40" s="264" customFormat="1" ht="14.4" x14ac:dyDescent="0.3">
      <c r="A237" s="457" t="s">
        <v>466</v>
      </c>
      <c r="B237" s="458"/>
      <c r="C237" s="458"/>
      <c r="D237" s="458"/>
      <c r="E237" s="458"/>
      <c r="F237" s="270">
        <v>0.05</v>
      </c>
      <c r="G237" s="271">
        <f t="shared" si="101"/>
        <v>929298108.5</v>
      </c>
      <c r="I237" s="273">
        <f>ROUND($I$234*F237,0)</f>
        <v>929191736</v>
      </c>
      <c r="J237" s="274"/>
      <c r="K237" s="278"/>
      <c r="L237" s="273">
        <f>ROUND($L$234*F237,0)</f>
        <v>-13362836</v>
      </c>
      <c r="M237" s="274"/>
      <c r="N237" s="278"/>
      <c r="O237" s="265">
        <f t="shared" si="102"/>
        <v>-3398166</v>
      </c>
      <c r="P237" s="353"/>
      <c r="Q237" s="353"/>
      <c r="R237" s="265">
        <f>ROUND(R234*F237,0)</f>
        <v>-1568384</v>
      </c>
      <c r="S237" s="276"/>
      <c r="T237" s="277">
        <f>ROUND($T$234*F237,0)</f>
        <v>910862352</v>
      </c>
      <c r="U237" s="265">
        <f>ROUND($U$234*F237,0)</f>
        <v>672751987</v>
      </c>
      <c r="V237" s="408"/>
    </row>
    <row r="238" spans="1:40" s="264" customFormat="1" ht="14.4" x14ac:dyDescent="0.3">
      <c r="A238" s="457" t="s">
        <v>467</v>
      </c>
      <c r="B238" s="458"/>
      <c r="C238" s="458"/>
      <c r="D238" s="458"/>
      <c r="E238" s="458"/>
      <c r="F238" s="279">
        <f>F235+F236+F237</f>
        <v>0.28951199999999999</v>
      </c>
      <c r="G238" s="280">
        <f>ROUND((G235+G236+G237),0)</f>
        <v>5380859080</v>
      </c>
      <c r="H238" s="272"/>
      <c r="I238" s="273">
        <f>ROUND((I235+I236+I237),0)</f>
        <v>5380243159</v>
      </c>
      <c r="J238" s="274"/>
      <c r="K238" s="278"/>
      <c r="L238" s="273">
        <f>ROUND((L235+L236+L237),0)</f>
        <v>-77374025</v>
      </c>
      <c r="M238" s="274"/>
      <c r="N238" s="278"/>
      <c r="O238" s="265">
        <f t="shared" si="102"/>
        <v>-19676194</v>
      </c>
      <c r="P238" s="353"/>
      <c r="Q238" s="353"/>
      <c r="R238" s="265">
        <f>ROUND(R234*F238,0)</f>
        <v>-9081320</v>
      </c>
      <c r="S238" s="281"/>
      <c r="T238" s="277">
        <f>ROUND((T235+T236+T237),0)</f>
        <v>5274111622</v>
      </c>
      <c r="U238" s="273">
        <f>ROUND((U235+U236+U237),0)</f>
        <v>3895395463</v>
      </c>
      <c r="V238" s="408"/>
    </row>
    <row r="239" spans="1:40" s="264" customFormat="1" ht="14.4" x14ac:dyDescent="0.3">
      <c r="A239" s="457" t="s">
        <v>468</v>
      </c>
      <c r="B239" s="458"/>
      <c r="C239" s="458"/>
      <c r="D239" s="458"/>
      <c r="E239" s="480"/>
      <c r="F239" s="282"/>
      <c r="G239" s="280">
        <f>+G234+G238</f>
        <v>23966821250</v>
      </c>
      <c r="H239" s="283"/>
      <c r="I239" s="273">
        <f>+I234+I238</f>
        <v>23964077888</v>
      </c>
      <c r="J239" s="274"/>
      <c r="K239" s="278"/>
      <c r="L239" s="273">
        <f>+L234+L238</f>
        <v>-344630737</v>
      </c>
      <c r="M239" s="274"/>
      <c r="N239" s="278"/>
      <c r="O239" s="273">
        <f>+O234+O238+4</f>
        <v>-87639501</v>
      </c>
      <c r="P239" s="354"/>
      <c r="Q239" s="354"/>
      <c r="R239" s="273">
        <f>+R234+R238</f>
        <v>-40449002</v>
      </c>
      <c r="S239" s="276"/>
      <c r="T239" s="277">
        <f>+T234+T238</f>
        <v>23491358652</v>
      </c>
      <c r="U239" s="273">
        <f>+U234+U238+1758920215</f>
        <v>19109355411</v>
      </c>
      <c r="V239" s="408"/>
    </row>
    <row r="240" spans="1:40" s="264" customFormat="1" ht="24.75" customHeight="1" x14ac:dyDescent="0.3">
      <c r="A240" s="511" t="s">
        <v>469</v>
      </c>
      <c r="B240" s="512"/>
      <c r="C240" s="512"/>
      <c r="D240" s="512"/>
      <c r="E240" s="513"/>
      <c r="F240" s="282"/>
      <c r="G240" s="273">
        <v>263719985</v>
      </c>
      <c r="H240" s="283"/>
      <c r="I240" s="273">
        <v>263719985</v>
      </c>
      <c r="J240" s="274"/>
      <c r="K240" s="278"/>
      <c r="L240" s="273">
        <v>-11915900</v>
      </c>
      <c r="M240" s="274"/>
      <c r="N240" s="278"/>
      <c r="O240" s="273">
        <v>0</v>
      </c>
      <c r="P240" s="354"/>
      <c r="Q240" s="354"/>
      <c r="R240" s="273"/>
      <c r="S240" s="284"/>
      <c r="T240" s="277">
        <f>+I240+L240</f>
        <v>251804085</v>
      </c>
      <c r="U240" s="285">
        <v>101506881</v>
      </c>
      <c r="V240" s="409"/>
    </row>
    <row r="241" spans="1:42" s="264" customFormat="1" ht="14.4" x14ac:dyDescent="0.3">
      <c r="A241" s="457" t="s">
        <v>470</v>
      </c>
      <c r="B241" s="458"/>
      <c r="C241" s="458"/>
      <c r="D241" s="458"/>
      <c r="E241" s="480"/>
      <c r="F241" s="282"/>
      <c r="G241" s="273">
        <v>268494001</v>
      </c>
      <c r="H241" s="286"/>
      <c r="I241" s="273">
        <v>268494001</v>
      </c>
      <c r="J241" s="274"/>
      <c r="K241" s="278"/>
      <c r="L241" s="273">
        <v>-12131613</v>
      </c>
      <c r="M241" s="274"/>
      <c r="N241" s="278"/>
      <c r="O241" s="273">
        <v>0</v>
      </c>
      <c r="P241" s="354"/>
      <c r="Q241" s="354"/>
      <c r="R241" s="273"/>
      <c r="S241" s="284"/>
      <c r="T241" s="277">
        <f>+I241+L241</f>
        <v>256362388</v>
      </c>
      <c r="U241" s="285">
        <v>96888986</v>
      </c>
      <c r="V241" s="409"/>
    </row>
    <row r="242" spans="1:42" s="264" customFormat="1" ht="27" customHeight="1" x14ac:dyDescent="0.3">
      <c r="A242" s="511" t="s">
        <v>471</v>
      </c>
      <c r="B242" s="512"/>
      <c r="C242" s="512"/>
      <c r="D242" s="512"/>
      <c r="E242" s="513"/>
      <c r="F242" s="287"/>
      <c r="G242" s="273">
        <v>77439880</v>
      </c>
      <c r="H242" s="288"/>
      <c r="I242" s="273">
        <v>77439880</v>
      </c>
      <c r="J242" s="274"/>
      <c r="K242" s="278"/>
      <c r="L242" s="273">
        <v>0</v>
      </c>
      <c r="M242" s="274"/>
      <c r="O242" s="273">
        <v>0</v>
      </c>
      <c r="P242" s="354"/>
      <c r="Q242" s="354"/>
      <c r="R242" s="273"/>
      <c r="S242" s="284"/>
      <c r="T242" s="277">
        <f>+I242+L242</f>
        <v>77439880</v>
      </c>
      <c r="U242" s="273">
        <v>0</v>
      </c>
      <c r="V242" s="408"/>
      <c r="AM242" s="296"/>
      <c r="AN242" s="296"/>
      <c r="AP242" s="278"/>
    </row>
    <row r="243" spans="1:42" s="296" customFormat="1" ht="14.4" x14ac:dyDescent="0.3">
      <c r="A243" s="514" t="s">
        <v>472</v>
      </c>
      <c r="B243" s="515"/>
      <c r="C243" s="515"/>
      <c r="D243" s="515"/>
      <c r="E243" s="516"/>
      <c r="F243" s="289"/>
      <c r="G243" s="290">
        <v>1831296154</v>
      </c>
      <c r="H243" s="291"/>
      <c r="I243" s="290">
        <v>1831296154</v>
      </c>
      <c r="J243" s="292"/>
      <c r="K243" s="293"/>
      <c r="L243" s="290">
        <f>371421610+175000000</f>
        <v>546421610</v>
      </c>
      <c r="M243" s="292"/>
      <c r="N243" s="293"/>
      <c r="O243" s="290">
        <f>716560204-135296951</f>
        <v>581263253</v>
      </c>
      <c r="P243" s="355"/>
      <c r="Q243" s="355"/>
      <c r="R243" s="290">
        <v>363962837</v>
      </c>
      <c r="S243" s="294"/>
      <c r="T243" s="295">
        <f>+I243+L243+O243+R243</f>
        <v>3322943854</v>
      </c>
      <c r="U243" s="334">
        <v>2398178784</v>
      </c>
      <c r="V243" s="410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M243" s="304"/>
      <c r="AN243" s="304"/>
    </row>
    <row r="244" spans="1:42" s="304" customFormat="1" ht="14.4" x14ac:dyDescent="0.3">
      <c r="A244" s="517" t="s">
        <v>473</v>
      </c>
      <c r="B244" s="518"/>
      <c r="C244" s="518"/>
      <c r="D244" s="518"/>
      <c r="E244" s="519"/>
      <c r="F244" s="297"/>
      <c r="G244" s="298">
        <v>121352955</v>
      </c>
      <c r="H244" s="299"/>
      <c r="I244" s="298">
        <v>121352955</v>
      </c>
      <c r="J244" s="300"/>
      <c r="K244" s="301"/>
      <c r="L244" s="298"/>
      <c r="M244" s="300"/>
      <c r="N244" s="301"/>
      <c r="O244" s="298">
        <v>87639501</v>
      </c>
      <c r="P244" s="356"/>
      <c r="Q244" s="356"/>
      <c r="R244" s="298">
        <v>40449000</v>
      </c>
      <c r="S244" s="302"/>
      <c r="T244" s="303">
        <f>+I244+L244+O244+R244</f>
        <v>249441456</v>
      </c>
      <c r="U244" s="303">
        <v>94381000</v>
      </c>
      <c r="V244" s="411"/>
      <c r="W244" s="296"/>
      <c r="X244" s="296"/>
      <c r="Y244" s="296"/>
      <c r="Z244" s="296"/>
      <c r="AA244" s="296"/>
      <c r="AB244" s="296"/>
      <c r="AC244" s="296"/>
      <c r="AD244" s="296"/>
      <c r="AE244" s="296"/>
      <c r="AF244" s="296"/>
      <c r="AM244"/>
      <c r="AN244"/>
    </row>
    <row r="245" spans="1:42" thickBot="1" x14ac:dyDescent="0.35">
      <c r="A245" s="492" t="s">
        <v>474</v>
      </c>
      <c r="B245" s="493"/>
      <c r="C245" s="493"/>
      <c r="D245" s="493"/>
      <c r="E245" s="494"/>
      <c r="F245" s="180"/>
      <c r="G245" s="181">
        <f>+ROUND(G239+G240+G241+G242,0)+G243+G244</f>
        <v>26529124225</v>
      </c>
      <c r="H245" s="118"/>
      <c r="I245" s="80">
        <f>+ROUND(I239+I240+I241+I242,0)+I243+I244</f>
        <v>26526380863</v>
      </c>
      <c r="J245" s="81"/>
      <c r="K245" s="82"/>
      <c r="L245" s="80"/>
      <c r="M245" s="81"/>
      <c r="N245" s="82"/>
      <c r="O245" s="80"/>
      <c r="P245" s="357"/>
      <c r="Q245" s="357"/>
      <c r="R245" s="357"/>
      <c r="S245" s="83"/>
      <c r="T245" s="84">
        <f>+ROUND(T239+T240+T241+T242+T243+T244,0)</f>
        <v>27649350315</v>
      </c>
      <c r="U245" s="226">
        <f>+ROUND(U239+U240+U241+U242+U243+U244,0)</f>
        <v>21800311062</v>
      </c>
      <c r="V245" s="412"/>
      <c r="W245" s="304"/>
      <c r="X245" s="304"/>
      <c r="Y245" s="304"/>
      <c r="Z245" s="304"/>
      <c r="AA245" s="304"/>
      <c r="AB245" s="304"/>
      <c r="AC245" s="304"/>
      <c r="AD245" s="304"/>
      <c r="AE245" s="304"/>
      <c r="AF245" s="304"/>
    </row>
    <row r="246" spans="1:42" ht="14.4" x14ac:dyDescent="0.3">
      <c r="A246" s="460"/>
      <c r="B246" s="461"/>
      <c r="C246" s="461"/>
      <c r="D246" s="461"/>
      <c r="E246" s="461"/>
      <c r="F246" s="462"/>
      <c r="G246" s="462"/>
      <c r="H246" s="461"/>
      <c r="I246" s="461"/>
      <c r="J246" s="461"/>
      <c r="K246" s="461"/>
      <c r="L246" s="461"/>
      <c r="M246" s="461"/>
      <c r="N246" s="461"/>
      <c r="O246" s="461"/>
      <c r="P246" s="461"/>
      <c r="Q246" s="461"/>
      <c r="R246" s="461"/>
      <c r="S246" s="463"/>
      <c r="T246" s="85">
        <v>0</v>
      </c>
      <c r="U246" s="227"/>
      <c r="V246" s="413"/>
    </row>
    <row r="247" spans="1:42" ht="14.4" x14ac:dyDescent="0.3">
      <c r="A247" s="503" t="s">
        <v>475</v>
      </c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86">
        <f>+T245+T246</f>
        <v>27649350315</v>
      </c>
      <c r="U247" s="228">
        <f>+U245</f>
        <v>21800311062</v>
      </c>
      <c r="V247" s="414"/>
    </row>
    <row r="248" spans="1:42" ht="6" customHeight="1" x14ac:dyDescent="0.3">
      <c r="A248" s="229"/>
      <c r="B248" s="230"/>
      <c r="C248" s="230"/>
      <c r="D248" s="230"/>
      <c r="E248" s="231"/>
      <c r="F248" s="231"/>
      <c r="G248" s="231"/>
      <c r="H248" s="232"/>
      <c r="I248" s="233"/>
      <c r="J248" s="87"/>
      <c r="M248" s="87"/>
      <c r="S248" s="87"/>
      <c r="T248"/>
      <c r="U248" s="234"/>
      <c r="V248" s="415"/>
    </row>
    <row r="249" spans="1:42" ht="15" customHeight="1" x14ac:dyDescent="0.3">
      <c r="A249" s="235"/>
      <c r="C249" s="469" t="s">
        <v>476</v>
      </c>
      <c r="D249" s="469"/>
      <c r="E249" s="469"/>
      <c r="F249" s="216"/>
      <c r="G249" s="216"/>
      <c r="I249" s="87"/>
      <c r="L249" s="87"/>
      <c r="O249" s="87"/>
      <c r="P249" s="87"/>
      <c r="Q249" s="87"/>
      <c r="R249" s="87"/>
      <c r="S249"/>
      <c r="T249" s="87"/>
      <c r="U249" s="236"/>
      <c r="V249" s="416"/>
    </row>
    <row r="250" spans="1:42" ht="15" customHeight="1" x14ac:dyDescent="0.3">
      <c r="A250" s="235"/>
      <c r="C250" s="79" t="s">
        <v>477</v>
      </c>
      <c r="D250" s="489">
        <f>+G245</f>
        <v>26529124225</v>
      </c>
      <c r="E250" s="490"/>
      <c r="F250" s="216"/>
      <c r="G250" s="216"/>
      <c r="I250" s="99"/>
      <c r="J250" s="87"/>
      <c r="K250" s="87"/>
      <c r="L250" s="87"/>
      <c r="M250" s="87"/>
      <c r="N250" s="87"/>
      <c r="O250" s="87"/>
      <c r="P250" s="87"/>
      <c r="Q250" s="87"/>
      <c r="R250" s="87"/>
      <c r="S250"/>
      <c r="T250" s="87"/>
      <c r="U250" s="425"/>
      <c r="V250" s="417"/>
    </row>
    <row r="251" spans="1:42" ht="15" customHeight="1" x14ac:dyDescent="0.3">
      <c r="A251" s="235"/>
      <c r="C251" s="79" t="s">
        <v>478</v>
      </c>
      <c r="D251" s="489">
        <f>+I245</f>
        <v>26526380863</v>
      </c>
      <c r="E251" s="490"/>
      <c r="F251" s="216"/>
      <c r="G251" s="332"/>
      <c r="H251" s="87"/>
      <c r="J251" s="88"/>
      <c r="K251" s="89"/>
      <c r="L251" s="87"/>
      <c r="M251" s="88"/>
      <c r="N251" s="89"/>
      <c r="O251" s="94"/>
      <c r="P251" s="94"/>
      <c r="Q251" s="94"/>
      <c r="R251" s="94"/>
      <c r="S251"/>
      <c r="T251" s="101"/>
      <c r="U251" s="237"/>
      <c r="V251" s="101"/>
    </row>
    <row r="252" spans="1:42" ht="15" customHeight="1" x14ac:dyDescent="0.3">
      <c r="A252" s="235"/>
      <c r="C252" s="79" t="s">
        <v>558</v>
      </c>
      <c r="D252" s="482">
        <v>175000000</v>
      </c>
      <c r="E252" s="483"/>
      <c r="F252" s="217"/>
      <c r="G252" s="217"/>
      <c r="J252" s="88"/>
      <c r="L252" s="90"/>
      <c r="M252" s="88"/>
      <c r="N252" s="99"/>
      <c r="O252" s="90"/>
      <c r="P252" s="90"/>
      <c r="Q252" s="90"/>
      <c r="R252" s="90"/>
      <c r="S252" s="90"/>
      <c r="T252" s="88"/>
      <c r="U252" s="260"/>
      <c r="V252" s="336"/>
    </row>
    <row r="253" spans="1:42" ht="15" customHeight="1" x14ac:dyDescent="0.3">
      <c r="A253" s="235"/>
      <c r="C253" s="79" t="s">
        <v>605</v>
      </c>
      <c r="D253" s="482">
        <f>+O243</f>
        <v>581263253</v>
      </c>
      <c r="E253" s="483"/>
      <c r="F253" s="217"/>
      <c r="G253" s="337"/>
      <c r="J253" s="88"/>
      <c r="L253" s="90"/>
      <c r="M253" s="88"/>
      <c r="N253" s="99"/>
      <c r="O253" s="90"/>
      <c r="P253" s="90"/>
      <c r="Q253" s="90"/>
      <c r="R253" s="90"/>
      <c r="S253" s="90"/>
      <c r="T253" s="88"/>
      <c r="U253" s="336"/>
      <c r="V253" s="336"/>
    </row>
    <row r="254" spans="1:42" ht="15" customHeight="1" x14ac:dyDescent="0.3">
      <c r="A254" s="235"/>
      <c r="C254" s="79" t="s">
        <v>604</v>
      </c>
      <c r="D254" s="482">
        <f>+Z13</f>
        <v>363962837</v>
      </c>
      <c r="E254" s="483"/>
      <c r="F254" s="217"/>
      <c r="G254" s="337"/>
      <c r="J254" s="88"/>
      <c r="L254" s="90"/>
      <c r="M254" s="88"/>
      <c r="N254" s="99"/>
      <c r="O254" s="90"/>
      <c r="P254" s="90"/>
      <c r="Q254" s="90"/>
      <c r="R254" s="90"/>
      <c r="S254" s="90"/>
      <c r="T254" s="88"/>
      <c r="U254" s="336"/>
      <c r="V254" s="336"/>
    </row>
    <row r="255" spans="1:42" ht="15.75" customHeight="1" x14ac:dyDescent="0.3">
      <c r="A255" s="239"/>
      <c r="C255" s="91" t="s">
        <v>475</v>
      </c>
      <c r="D255" s="491">
        <f>+D250+D252+D253+D254</f>
        <v>27649350315</v>
      </c>
      <c r="E255" s="469"/>
      <c r="F255" s="338"/>
      <c r="G255" s="308"/>
      <c r="H255" s="87"/>
      <c r="I255" s="209"/>
      <c r="J255" s="88"/>
      <c r="M255" s="88"/>
      <c r="O255" s="420"/>
      <c r="R255" s="92"/>
      <c r="S255" s="87"/>
      <c r="T255" s="88"/>
      <c r="U255" s="88"/>
      <c r="V255" s="88"/>
    </row>
    <row r="256" spans="1:42" ht="15" customHeight="1" x14ac:dyDescent="0.3">
      <c r="A256" s="229"/>
      <c r="F256" s="87"/>
      <c r="G256" s="87"/>
      <c r="I256" s="240"/>
      <c r="J256" s="88"/>
      <c r="L256" s="88"/>
      <c r="M256" s="88"/>
      <c r="O256" s="88"/>
      <c r="P256" s="88"/>
      <c r="Q256" s="88"/>
      <c r="R256" s="88"/>
      <c r="S256" s="87"/>
      <c r="T256" s="88"/>
      <c r="U256" s="238"/>
      <c r="V256" s="88"/>
    </row>
    <row r="257" spans="1:22" ht="15" customHeight="1" x14ac:dyDescent="0.3">
      <c r="A257" s="229"/>
      <c r="C257" s="469" t="s">
        <v>479</v>
      </c>
      <c r="D257" s="469"/>
      <c r="E257" s="469"/>
      <c r="G257" s="241"/>
      <c r="I257" s="241"/>
      <c r="J257" s="88"/>
      <c r="K257" s="242"/>
      <c r="L257" s="92"/>
      <c r="M257" s="88"/>
      <c r="N257" s="242"/>
      <c r="O257" s="92"/>
      <c r="P257" s="92"/>
      <c r="Q257" s="92"/>
      <c r="R257" s="92"/>
      <c r="S257"/>
      <c r="T257" s="88"/>
      <c r="U257" s="307"/>
      <c r="V257" s="418"/>
    </row>
    <row r="258" spans="1:22" ht="15" customHeight="1" x14ac:dyDescent="0.3">
      <c r="A258" s="235"/>
      <c r="B258" s="243"/>
      <c r="C258" s="79" t="s">
        <v>480</v>
      </c>
      <c r="D258" s="459">
        <f>+G239+G240+G241+G242+G244</f>
        <v>24697828071</v>
      </c>
      <c r="E258" s="459"/>
      <c r="F258" s="421"/>
      <c r="G258" s="421"/>
      <c r="H258" s="468"/>
      <c r="I258" s="468"/>
      <c r="J258" s="468"/>
      <c r="K258" s="468"/>
      <c r="L258" s="468"/>
      <c r="M258" s="468"/>
      <c r="N258" s="468"/>
      <c r="O258" s="468"/>
      <c r="P258" s="332"/>
      <c r="Q258" s="332"/>
      <c r="R258" s="332"/>
      <c r="S258" s="468"/>
      <c r="T258" s="468"/>
      <c r="U258" s="306"/>
      <c r="V258" s="419"/>
    </row>
    <row r="259" spans="1:22" ht="15" customHeight="1" x14ac:dyDescent="0.3">
      <c r="A259" s="235"/>
      <c r="B259" s="243"/>
      <c r="C259" s="79" t="s">
        <v>481</v>
      </c>
      <c r="D259" s="459">
        <v>19088951316.075901</v>
      </c>
      <c r="E259" s="459">
        <v>19088951316.075901</v>
      </c>
      <c r="F259" s="423"/>
      <c r="G259" s="99"/>
      <c r="H259" s="468"/>
      <c r="I259" s="468"/>
      <c r="J259" s="88"/>
      <c r="K259" s="95"/>
      <c r="L259" s="95"/>
      <c r="M259" s="88"/>
      <c r="N259" s="305"/>
      <c r="O259" s="95"/>
      <c r="P259" s="95"/>
      <c r="Q259" s="95"/>
      <c r="R259" s="95"/>
      <c r="S259" s="88"/>
      <c r="T259" s="88"/>
      <c r="U259" s="238"/>
      <c r="V259" s="88"/>
    </row>
    <row r="260" spans="1:22" ht="15" customHeight="1" x14ac:dyDescent="0.3">
      <c r="A260" s="235"/>
      <c r="B260" s="243"/>
      <c r="C260" s="79" t="s">
        <v>482</v>
      </c>
      <c r="D260" s="459">
        <f>+U247</f>
        <v>21800311062</v>
      </c>
      <c r="E260" s="459"/>
      <c r="F260" s="421"/>
      <c r="G260" s="424"/>
      <c r="H260" s="468"/>
      <c r="I260" s="468"/>
      <c r="J260" s="88"/>
      <c r="K260" s="95"/>
      <c r="L260" s="95"/>
      <c r="M260" s="88"/>
      <c r="N260" s="95"/>
      <c r="O260" s="95"/>
      <c r="P260" s="95"/>
      <c r="Q260" s="95"/>
      <c r="R260" s="95"/>
      <c r="S260" s="88"/>
      <c r="T260" s="88"/>
      <c r="U260" s="238"/>
      <c r="V260" s="88"/>
    </row>
    <row r="261" spans="1:22" ht="15" customHeight="1" x14ac:dyDescent="0.3">
      <c r="A261" s="235"/>
      <c r="B261" s="243"/>
      <c r="C261" s="220" t="s">
        <v>483</v>
      </c>
      <c r="D261" s="498">
        <f>+ROUND(D259/D258,4)</f>
        <v>0.77290000000000003</v>
      </c>
      <c r="E261" s="498"/>
      <c r="F261" s="500"/>
      <c r="G261" s="500"/>
      <c r="H261" s="499"/>
      <c r="I261" s="499"/>
      <c r="J261" s="214"/>
      <c r="K261" s="95"/>
      <c r="L261" s="95"/>
      <c r="M261" s="214"/>
      <c r="N261" s="95"/>
      <c r="O261" s="95"/>
      <c r="P261" s="95"/>
      <c r="Q261" s="95"/>
      <c r="R261" s="95"/>
      <c r="S261" s="88"/>
      <c r="T261" s="88"/>
      <c r="U261" s="238"/>
      <c r="V261" s="88"/>
    </row>
    <row r="262" spans="1:22" ht="15" customHeight="1" x14ac:dyDescent="0.3">
      <c r="A262" s="235"/>
      <c r="B262" s="244"/>
      <c r="C262" s="469" t="s">
        <v>484</v>
      </c>
      <c r="D262" s="469"/>
      <c r="E262" s="469"/>
      <c r="F262" s="104"/>
      <c r="G262" s="104"/>
      <c r="H262" s="93"/>
      <c r="I262" s="87"/>
      <c r="J262" s="215"/>
      <c r="K262" s="95"/>
      <c r="L262" s="95"/>
      <c r="M262" s="215"/>
      <c r="N262" s="95"/>
      <c r="O262" s="95"/>
      <c r="P262" s="95"/>
      <c r="Q262" s="95"/>
      <c r="R262" s="95"/>
      <c r="S262" s="88"/>
      <c r="T262" s="88"/>
      <c r="U262" s="238"/>
      <c r="V262" s="88"/>
    </row>
    <row r="263" spans="1:22" ht="15" customHeight="1" thickBot="1" x14ac:dyDescent="0.35">
      <c r="A263" s="235"/>
      <c r="B263" s="245"/>
      <c r="C263" s="79" t="s">
        <v>485</v>
      </c>
      <c r="D263" s="470">
        <v>21903262418</v>
      </c>
      <c r="E263" s="470"/>
      <c r="F263" s="104"/>
      <c r="G263" s="261"/>
      <c r="H263" s="246"/>
      <c r="J263" s="247"/>
      <c r="K263" s="213"/>
      <c r="L263" s="96"/>
      <c r="M263" s="247"/>
      <c r="N263" s="213"/>
      <c r="O263" s="96"/>
      <c r="P263" s="96"/>
      <c r="Q263" s="96"/>
      <c r="R263" s="96"/>
      <c r="S263" s="88"/>
      <c r="T263"/>
      <c r="U263" s="234"/>
      <c r="V263" s="415"/>
    </row>
    <row r="264" spans="1:22" ht="15" customHeight="1" thickBot="1" x14ac:dyDescent="0.35">
      <c r="A264" s="235"/>
      <c r="B264" s="248"/>
      <c r="C264" s="79" t="s">
        <v>486</v>
      </c>
      <c r="D264" s="471">
        <v>2202717764</v>
      </c>
      <c r="E264" s="471">
        <v>1997832283</v>
      </c>
      <c r="F264" s="104"/>
      <c r="G264" s="446"/>
      <c r="H264" s="93"/>
      <c r="I264" s="94"/>
      <c r="K264" s="97"/>
      <c r="L264" s="97"/>
      <c r="N264" s="97"/>
      <c r="O264" s="97"/>
      <c r="P264" s="97"/>
      <c r="Q264" s="97"/>
      <c r="R264" s="97"/>
      <c r="S264" s="88"/>
      <c r="T264"/>
      <c r="U264" s="234"/>
      <c r="V264" s="415"/>
    </row>
    <row r="265" spans="1:22" ht="15" customHeight="1" x14ac:dyDescent="0.3">
      <c r="A265" s="235"/>
      <c r="B265" s="249"/>
      <c r="C265" s="218" t="s">
        <v>487</v>
      </c>
      <c r="D265" s="470">
        <v>194161155</v>
      </c>
      <c r="E265" s="470">
        <v>194161155</v>
      </c>
      <c r="F265" s="448"/>
      <c r="G265" s="104"/>
      <c r="H265" s="93"/>
      <c r="I265" s="94"/>
      <c r="K265" s="250"/>
      <c r="L265" s="250"/>
      <c r="N265" s="250"/>
      <c r="O265" s="250"/>
      <c r="P265" s="250"/>
      <c r="Q265" s="250"/>
      <c r="R265" s="250"/>
      <c r="S265" s="88"/>
      <c r="T265"/>
      <c r="U265" s="234"/>
      <c r="V265" s="415"/>
    </row>
    <row r="266" spans="1:22" ht="15" customHeight="1" x14ac:dyDescent="0.3">
      <c r="A266" s="235"/>
      <c r="B266" s="249"/>
      <c r="C266" s="218" t="s">
        <v>488</v>
      </c>
      <c r="D266" s="470">
        <f>+D263+D264+D265</f>
        <v>24300141337</v>
      </c>
      <c r="E266" s="470"/>
      <c r="F266" s="447"/>
      <c r="G266" s="104"/>
      <c r="H266" s="93"/>
      <c r="I266" s="94"/>
      <c r="K266" s="250"/>
      <c r="L266" s="250"/>
      <c r="N266" s="250"/>
      <c r="O266" s="250"/>
      <c r="P266" s="250"/>
      <c r="Q266" s="250"/>
      <c r="R266" s="250"/>
      <c r="S266" s="88"/>
      <c r="T266"/>
      <c r="U266" s="234"/>
      <c r="V266" s="415"/>
    </row>
    <row r="267" spans="1:22" ht="15" customHeight="1" x14ac:dyDescent="0.3">
      <c r="A267" s="235"/>
      <c r="B267" s="249"/>
      <c r="C267" s="219" t="s">
        <v>489</v>
      </c>
      <c r="D267" s="472">
        <f>+(D266)/(D255-D254)</f>
        <v>0.89059176295711462</v>
      </c>
      <c r="E267" s="472"/>
      <c r="F267" s="335"/>
      <c r="G267" s="104"/>
      <c r="H267" s="93"/>
      <c r="I267" s="94"/>
      <c r="K267" s="250"/>
      <c r="L267" s="250"/>
      <c r="N267" s="250"/>
      <c r="O267" s="250"/>
      <c r="P267" s="250"/>
      <c r="Q267" s="250"/>
      <c r="R267" s="250"/>
      <c r="S267" s="88"/>
      <c r="T267"/>
      <c r="U267" s="234"/>
      <c r="V267" s="415"/>
    </row>
    <row r="268" spans="1:22" ht="15" customHeight="1" x14ac:dyDescent="0.3">
      <c r="A268" s="235"/>
      <c r="B268" s="249"/>
      <c r="C268" s="249"/>
      <c r="D268" s="506"/>
      <c r="E268" s="506"/>
      <c r="F268" s="104"/>
      <c r="G268" s="104"/>
      <c r="H268" s="93"/>
      <c r="I268" s="94"/>
      <c r="K268" s="251"/>
      <c r="L268" s="251"/>
      <c r="N268" s="251"/>
      <c r="O268" s="251"/>
      <c r="P268" s="251"/>
      <c r="Q268" s="251"/>
      <c r="R268" s="251"/>
      <c r="S268" s="88"/>
      <c r="T268"/>
      <c r="U268" s="234"/>
      <c r="V268" s="415"/>
    </row>
    <row r="269" spans="1:22" ht="53.4" customHeight="1" x14ac:dyDescent="0.3">
      <c r="A269" s="235"/>
      <c r="B269" s="252"/>
      <c r="C269" s="252"/>
      <c r="D269" s="506"/>
      <c r="E269" s="506"/>
      <c r="F269" s="104"/>
      <c r="G269" s="104"/>
      <c r="H269" s="93"/>
      <c r="I269" s="94"/>
      <c r="K269" s="250"/>
      <c r="L269" s="250"/>
      <c r="N269" s="250"/>
      <c r="O269" s="250"/>
      <c r="P269" s="250"/>
      <c r="Q269" s="250"/>
      <c r="R269" s="250"/>
      <c r="S269"/>
      <c r="T269"/>
      <c r="U269" s="234"/>
      <c r="V269" s="415"/>
    </row>
    <row r="270" spans="1:22" ht="16.95" customHeight="1" x14ac:dyDescent="0.3">
      <c r="A270" s="235"/>
      <c r="B270" s="249"/>
      <c r="C270" s="249"/>
      <c r="D270" s="506"/>
      <c r="E270" s="506"/>
      <c r="F270" s="104"/>
      <c r="G270" s="104"/>
      <c r="H270" s="93"/>
      <c r="I270" s="94"/>
      <c r="K270" s="250"/>
      <c r="L270" s="250"/>
      <c r="N270" s="250"/>
      <c r="O270" s="250"/>
      <c r="P270" s="250"/>
      <c r="Q270" s="250"/>
      <c r="R270" s="250"/>
      <c r="S270"/>
      <c r="T270"/>
      <c r="U270" s="234"/>
      <c r="V270" s="415"/>
    </row>
    <row r="271" spans="1:22" ht="15" customHeight="1" x14ac:dyDescent="0.3">
      <c r="A271" s="235"/>
      <c r="D271" s="505" t="s">
        <v>490</v>
      </c>
      <c r="E271" s="505"/>
      <c r="F271" s="505"/>
      <c r="G271" s="505"/>
      <c r="H271" s="505" t="s">
        <v>491</v>
      </c>
      <c r="I271" s="505"/>
      <c r="J271" s="505"/>
      <c r="K271" s="253"/>
      <c r="L271" s="505" t="s">
        <v>492</v>
      </c>
      <c r="M271" s="505"/>
      <c r="N271" s="505"/>
      <c r="O271" s="505"/>
      <c r="P271" s="505"/>
      <c r="Q271" s="505"/>
      <c r="R271" s="505"/>
      <c r="S271" s="505"/>
      <c r="T271" s="505"/>
      <c r="U271" s="234"/>
      <c r="V271" s="415"/>
    </row>
    <row r="272" spans="1:22" ht="15" customHeight="1" x14ac:dyDescent="0.3">
      <c r="A272" s="235"/>
      <c r="D272" s="505" t="s">
        <v>577</v>
      </c>
      <c r="E272" s="505"/>
      <c r="F272" s="505"/>
      <c r="G272" s="505"/>
      <c r="H272" s="505" t="s">
        <v>493</v>
      </c>
      <c r="I272" s="505"/>
      <c r="J272" s="505"/>
      <c r="K272" s="253"/>
      <c r="L272" s="505" t="s">
        <v>494</v>
      </c>
      <c r="M272" s="505"/>
      <c r="N272" s="505"/>
      <c r="O272" s="505"/>
      <c r="P272" s="505"/>
      <c r="Q272" s="505"/>
      <c r="R272" s="505"/>
      <c r="S272" s="505"/>
      <c r="T272" s="505"/>
      <c r="U272" s="234"/>
      <c r="V272" s="415"/>
    </row>
    <row r="273" spans="1:22" ht="15" customHeight="1" thickBot="1" x14ac:dyDescent="0.35">
      <c r="A273" s="254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6"/>
      <c r="V273" s="415"/>
    </row>
    <row r="274" spans="1:22" ht="15" customHeight="1" x14ac:dyDescent="0.3">
      <c r="K274" s="88"/>
      <c r="N274" s="88"/>
      <c r="S274"/>
      <c r="T274"/>
    </row>
    <row r="275" spans="1:22" ht="15" customHeight="1" x14ac:dyDescent="0.3">
      <c r="S275"/>
      <c r="T275"/>
    </row>
    <row r="276" spans="1:22" ht="15" customHeight="1" x14ac:dyDescent="0.3">
      <c r="S276"/>
      <c r="T276"/>
    </row>
    <row r="277" spans="1:22" ht="15" customHeight="1" x14ac:dyDescent="0.3">
      <c r="S277"/>
      <c r="T277"/>
    </row>
    <row r="278" spans="1:22" ht="15" hidden="1" customHeight="1" x14ac:dyDescent="0.3">
      <c r="C278" s="453" t="s">
        <v>570</v>
      </c>
      <c r="D278" s="454"/>
      <c r="E278" s="454"/>
      <c r="M278" s="206"/>
      <c r="S278"/>
      <c r="T278"/>
    </row>
    <row r="279" spans="1:22" ht="15" hidden="1" customHeight="1" thickBot="1" x14ac:dyDescent="0.35">
      <c r="C279" s="339" t="s">
        <v>477</v>
      </c>
      <c r="D279" s="449">
        <v>26529124225</v>
      </c>
      <c r="E279" s="450"/>
      <c r="S279"/>
      <c r="T279"/>
    </row>
    <row r="280" spans="1:22" ht="15" hidden="1" customHeight="1" thickBot="1" x14ac:dyDescent="0.35">
      <c r="C280" s="340" t="s">
        <v>571</v>
      </c>
      <c r="D280" s="449">
        <v>26526380863</v>
      </c>
      <c r="E280" s="450"/>
      <c r="F280" s="206"/>
      <c r="G280" s="87">
        <f>+F280-D286</f>
        <v>-27649350315</v>
      </c>
      <c r="S280"/>
      <c r="T280"/>
    </row>
    <row r="281" spans="1:22" ht="15" hidden="1" customHeight="1" thickBot="1" x14ac:dyDescent="0.35">
      <c r="C281" s="339" t="s">
        <v>572</v>
      </c>
      <c r="D281" s="449">
        <f>+T245-T244-T243</f>
        <v>24076965005</v>
      </c>
      <c r="E281" s="450"/>
      <c r="S281"/>
      <c r="T281"/>
    </row>
    <row r="282" spans="1:22" ht="15" hidden="1" customHeight="1" thickBot="1" x14ac:dyDescent="0.35">
      <c r="C282" s="340" t="s">
        <v>575</v>
      </c>
      <c r="D282" s="449">
        <v>121352955</v>
      </c>
      <c r="E282" s="450"/>
      <c r="S282"/>
      <c r="T282"/>
    </row>
    <row r="283" spans="1:22" ht="15" hidden="1" customHeight="1" thickBot="1" x14ac:dyDescent="0.35">
      <c r="C283" s="339" t="s">
        <v>573</v>
      </c>
      <c r="D283" s="449">
        <f>+D282+O244</f>
        <v>208992456</v>
      </c>
      <c r="E283" s="450"/>
      <c r="F283" s="206"/>
      <c r="S283"/>
      <c r="T283"/>
    </row>
    <row r="284" spans="1:22" ht="15" hidden="1" customHeight="1" thickBot="1" x14ac:dyDescent="0.35">
      <c r="C284" s="340" t="s">
        <v>576</v>
      </c>
      <c r="D284" s="451">
        <f>+T243</f>
        <v>3322943854</v>
      </c>
      <c r="E284" s="450"/>
      <c r="F284" s="94"/>
      <c r="S284"/>
      <c r="T284"/>
    </row>
    <row r="285" spans="1:22" ht="15" hidden="1" customHeight="1" thickBot="1" x14ac:dyDescent="0.35">
      <c r="C285" s="339" t="s">
        <v>574</v>
      </c>
      <c r="D285" s="451">
        <f>+D281+D283+D284-D279-175000000</f>
        <v>904777090</v>
      </c>
      <c r="E285" s="450"/>
      <c r="S285"/>
      <c r="T285"/>
    </row>
    <row r="286" spans="1:22" ht="15" hidden="1" customHeight="1" thickBot="1" x14ac:dyDescent="0.35">
      <c r="C286" s="340" t="s">
        <v>475</v>
      </c>
      <c r="D286" s="452">
        <f>+D255</f>
        <v>27649350315</v>
      </c>
      <c r="E286" s="450"/>
      <c r="S286"/>
      <c r="T286"/>
    </row>
    <row r="287" spans="1:22" ht="15" hidden="1" customHeight="1" x14ac:dyDescent="0.3">
      <c r="S287"/>
      <c r="T287"/>
    </row>
    <row r="288" spans="1:22" ht="15" hidden="1" customHeight="1" x14ac:dyDescent="0.3">
      <c r="S288"/>
      <c r="T288"/>
    </row>
    <row r="291" spans="20:20" ht="15" customHeight="1" x14ac:dyDescent="0.3">
      <c r="T291" s="344"/>
    </row>
  </sheetData>
  <autoFilter ref="C1:C288" xr:uid="{CC4496F0-DC76-43A5-ACDE-2942DD363E7D}"/>
  <dataConsolidate link="1"/>
  <mergeCells count="147">
    <mergeCell ref="C1:U1"/>
    <mergeCell ref="A240:E240"/>
    <mergeCell ref="A243:E243"/>
    <mergeCell ref="A244:E244"/>
    <mergeCell ref="F3:G3"/>
    <mergeCell ref="A234:E234"/>
    <mergeCell ref="A242:E242"/>
    <mergeCell ref="J16:K16"/>
    <mergeCell ref="A1:B1"/>
    <mergeCell ref="A2:T2"/>
    <mergeCell ref="A3:C3"/>
    <mergeCell ref="J3:L3"/>
    <mergeCell ref="S3:T3"/>
    <mergeCell ref="J5:K5"/>
    <mergeCell ref="J6:K6"/>
    <mergeCell ref="B7:B15"/>
    <mergeCell ref="H3:I3"/>
    <mergeCell ref="A236:E236"/>
    <mergeCell ref="A237:E237"/>
    <mergeCell ref="M3:O3"/>
    <mergeCell ref="M5:N5"/>
    <mergeCell ref="M6:N6"/>
    <mergeCell ref="M16:N16"/>
    <mergeCell ref="J107:K107"/>
    <mergeCell ref="M26:N26"/>
    <mergeCell ref="J36:K36"/>
    <mergeCell ref="B37:B45"/>
    <mergeCell ref="J46:K46"/>
    <mergeCell ref="B47:B55"/>
    <mergeCell ref="J56:K56"/>
    <mergeCell ref="J66:K66"/>
    <mergeCell ref="B67:B75"/>
    <mergeCell ref="J76:K76"/>
    <mergeCell ref="M36:N36"/>
    <mergeCell ref="M46:N46"/>
    <mergeCell ref="M56:N56"/>
    <mergeCell ref="M66:N66"/>
    <mergeCell ref="B57:B65"/>
    <mergeCell ref="L271:T271"/>
    <mergeCell ref="L272:T272"/>
    <mergeCell ref="H271:J271"/>
    <mergeCell ref="H272:J272"/>
    <mergeCell ref="D271:G271"/>
    <mergeCell ref="D272:G272"/>
    <mergeCell ref="D268:E268"/>
    <mergeCell ref="D269:E269"/>
    <mergeCell ref="D270:E270"/>
    <mergeCell ref="D266:E266"/>
    <mergeCell ref="D260:E260"/>
    <mergeCell ref="J147:K147"/>
    <mergeCell ref="J189:K189"/>
    <mergeCell ref="B148:B156"/>
    <mergeCell ref="J157:K157"/>
    <mergeCell ref="E231:H231"/>
    <mergeCell ref="E232:H232"/>
    <mergeCell ref="D261:E261"/>
    <mergeCell ref="C262:E262"/>
    <mergeCell ref="H259:I259"/>
    <mergeCell ref="H260:I260"/>
    <mergeCell ref="H261:I261"/>
    <mergeCell ref="F261:G261"/>
    <mergeCell ref="J258:K258"/>
    <mergeCell ref="B180:B188"/>
    <mergeCell ref="B158:B166"/>
    <mergeCell ref="J167:K167"/>
    <mergeCell ref="J168:K168"/>
    <mergeCell ref="B169:B177"/>
    <mergeCell ref="J178:K178"/>
    <mergeCell ref="J179:K179"/>
    <mergeCell ref="D254:E254"/>
    <mergeCell ref="A247:S247"/>
    <mergeCell ref="C249:E249"/>
    <mergeCell ref="D251:E251"/>
    <mergeCell ref="D252:E252"/>
    <mergeCell ref="D255:E255"/>
    <mergeCell ref="D250:E250"/>
    <mergeCell ref="A245:E245"/>
    <mergeCell ref="B224:B232"/>
    <mergeCell ref="E224:H224"/>
    <mergeCell ref="E225:H225"/>
    <mergeCell ref="B138:B146"/>
    <mergeCell ref="M76:N76"/>
    <mergeCell ref="M86:N86"/>
    <mergeCell ref="J190:K190"/>
    <mergeCell ref="J195:K195"/>
    <mergeCell ref="A235:E235"/>
    <mergeCell ref="M117:N117"/>
    <mergeCell ref="J117:K117"/>
    <mergeCell ref="J137:K137"/>
    <mergeCell ref="B108:B116"/>
    <mergeCell ref="B118:B126"/>
    <mergeCell ref="J127:K127"/>
    <mergeCell ref="B128:B136"/>
    <mergeCell ref="B77:B85"/>
    <mergeCell ref="J86:K86"/>
    <mergeCell ref="B87:B95"/>
    <mergeCell ref="J96:K96"/>
    <mergeCell ref="J97:K97"/>
    <mergeCell ref="B98:B106"/>
    <mergeCell ref="P3:R3"/>
    <mergeCell ref="D279:E279"/>
    <mergeCell ref="M168:N168"/>
    <mergeCell ref="M178:N178"/>
    <mergeCell ref="M179:N179"/>
    <mergeCell ref="M189:N189"/>
    <mergeCell ref="M190:N190"/>
    <mergeCell ref="M127:N127"/>
    <mergeCell ref="M137:N137"/>
    <mergeCell ref="M147:N147"/>
    <mergeCell ref="M157:N157"/>
    <mergeCell ref="M167:N167"/>
    <mergeCell ref="A239:E239"/>
    <mergeCell ref="A241:E241"/>
    <mergeCell ref="H258:I258"/>
    <mergeCell ref="L258:M258"/>
    <mergeCell ref="N258:O258"/>
    <mergeCell ref="B17:B25"/>
    <mergeCell ref="J26:K26"/>
    <mergeCell ref="B27:B35"/>
    <mergeCell ref="M96:N96"/>
    <mergeCell ref="M97:N97"/>
    <mergeCell ref="M107:N107"/>
    <mergeCell ref="D253:E253"/>
    <mergeCell ref="D280:E280"/>
    <mergeCell ref="D281:E281"/>
    <mergeCell ref="D282:E282"/>
    <mergeCell ref="D283:E283"/>
    <mergeCell ref="D284:E284"/>
    <mergeCell ref="D285:E285"/>
    <mergeCell ref="D286:E286"/>
    <mergeCell ref="C278:E278"/>
    <mergeCell ref="M195:N195"/>
    <mergeCell ref="A238:E238"/>
    <mergeCell ref="D259:E259"/>
    <mergeCell ref="A246:S246"/>
    <mergeCell ref="E226:H226"/>
    <mergeCell ref="E227:H227"/>
    <mergeCell ref="E228:H228"/>
    <mergeCell ref="E229:H229"/>
    <mergeCell ref="E230:H230"/>
    <mergeCell ref="S258:T258"/>
    <mergeCell ref="D258:E258"/>
    <mergeCell ref="C257:E257"/>
    <mergeCell ref="D263:E263"/>
    <mergeCell ref="D264:E264"/>
    <mergeCell ref="D265:E265"/>
    <mergeCell ref="D267:E267"/>
  </mergeCells>
  <phoneticPr fontId="23" type="noConversion"/>
  <printOptions horizontalCentered="1"/>
  <pageMargins left="0.35433070866141736" right="0.35433070866141736" top="0.59055118110236227" bottom="0.59055118110236227" header="0.35433070866141736" footer="0.35433070866141736"/>
  <pageSetup paperSize="169" scale="51" fitToHeight="0" orientation="landscape" r:id="rId1"/>
  <headerFooter>
    <oddHeader>&amp;RMEJORAMIENTO DE VIAS TERCIARIAS DE LOS MUNICIPIOS DEL URABA, ANTIOQUIA</oddHeader>
    <oddFooter xml:space="preserve">&amp;R&amp;P
</oddFooter>
  </headerFooter>
  <rowBreaks count="6" manualBreakCount="6">
    <brk id="35" max="20" man="1"/>
    <brk id="77" max="20" man="1"/>
    <brk id="122" max="20" man="1"/>
    <brk id="161" max="20" man="1"/>
    <brk id="212" max="20" man="1"/>
    <brk id="233" max="20" man="1"/>
  </rowBreaks>
  <ignoredErrors>
    <ignoredError sqref="T127 O195 O199 O202:O204 O206 O209 O211 L137 L147 O16 I16:L16 O214 O36 R36 R46 R66" formula="1"/>
    <ignoredError sqref="A16:B16 B17 A223" numberStoredAsText="1"/>
    <ignoredError sqref="U214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E9EE-9713-42B9-A7D3-BB288FDF11E8}">
  <dimension ref="B2:C16"/>
  <sheetViews>
    <sheetView workbookViewId="0">
      <selection activeCell="F18" sqref="F18"/>
    </sheetView>
  </sheetViews>
  <sheetFormatPr baseColWidth="10" defaultRowHeight="14.4" x14ac:dyDescent="0.3"/>
  <cols>
    <col min="3" max="3" width="18.88671875" bestFit="1" customWidth="1"/>
  </cols>
  <sheetData>
    <row r="2" spans="2:3" x14ac:dyDescent="0.3">
      <c r="B2" s="79" t="s">
        <v>578</v>
      </c>
      <c r="C2" s="342">
        <v>2015787097</v>
      </c>
    </row>
    <row r="3" spans="2:3" x14ac:dyDescent="0.3">
      <c r="B3" s="79" t="s">
        <v>579</v>
      </c>
      <c r="C3" s="341">
        <v>2371623321</v>
      </c>
    </row>
    <row r="4" spans="2:3" x14ac:dyDescent="0.3">
      <c r="B4" s="79" t="s">
        <v>580</v>
      </c>
      <c r="C4" s="341">
        <v>1789499403</v>
      </c>
    </row>
    <row r="5" spans="2:3" x14ac:dyDescent="0.3">
      <c r="B5" s="79" t="s">
        <v>581</v>
      </c>
      <c r="C5" s="341">
        <v>2025189222</v>
      </c>
    </row>
    <row r="6" spans="2:3" x14ac:dyDescent="0.3">
      <c r="B6" s="79" t="s">
        <v>582</v>
      </c>
      <c r="C6" s="341">
        <v>1136110220</v>
      </c>
    </row>
    <row r="7" spans="2:3" x14ac:dyDescent="0.3">
      <c r="B7" s="79" t="s">
        <v>583</v>
      </c>
      <c r="C7" s="341">
        <v>2020599914</v>
      </c>
    </row>
    <row r="8" spans="2:3" x14ac:dyDescent="0.3">
      <c r="B8" s="79" t="s">
        <v>584</v>
      </c>
      <c r="C8" s="341">
        <v>2150041406</v>
      </c>
    </row>
    <row r="9" spans="2:3" x14ac:dyDescent="0.3">
      <c r="B9" s="79" t="s">
        <v>585</v>
      </c>
      <c r="C9" s="341">
        <v>2651315840</v>
      </c>
    </row>
    <row r="10" spans="2:3" x14ac:dyDescent="0.3">
      <c r="B10" s="79" t="s">
        <v>586</v>
      </c>
      <c r="C10" s="341">
        <v>2088448287</v>
      </c>
    </row>
    <row r="11" spans="2:3" ht="7.95" customHeight="1" x14ac:dyDescent="0.3">
      <c r="B11" s="79"/>
      <c r="C11" s="79"/>
    </row>
    <row r="12" spans="2:3" x14ac:dyDescent="0.3">
      <c r="B12" s="79"/>
      <c r="C12" s="100">
        <f>SUM(C2:C11)</f>
        <v>18248614710</v>
      </c>
    </row>
    <row r="13" spans="2:3" x14ac:dyDescent="0.3">
      <c r="B13" s="79"/>
      <c r="C13" s="100">
        <v>18248614170</v>
      </c>
    </row>
    <row r="14" spans="2:3" ht="7.95" customHeight="1" x14ac:dyDescent="0.3">
      <c r="B14" s="79"/>
      <c r="C14" s="98"/>
    </row>
    <row r="15" spans="2:3" ht="11.4" customHeight="1" x14ac:dyDescent="0.3">
      <c r="B15" s="79"/>
      <c r="C15" s="98">
        <f>+C12-C13</f>
        <v>540</v>
      </c>
    </row>
    <row r="16" spans="2:3" ht="6.6" customHeight="1" x14ac:dyDescent="0.3">
      <c r="B16" s="79"/>
      <c r="C16" s="7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62B9-E90A-4FC3-ACF1-FCFC71E6115F}">
  <dimension ref="A1:AN62"/>
  <sheetViews>
    <sheetView topLeftCell="A34" workbookViewId="0">
      <selection activeCell="I62" sqref="I62"/>
    </sheetView>
  </sheetViews>
  <sheetFormatPr baseColWidth="10" defaultRowHeight="14.4" x14ac:dyDescent="0.3"/>
  <cols>
    <col min="9" max="9" width="13.6640625" bestFit="1" customWidth="1"/>
  </cols>
  <sheetData>
    <row r="1" spans="1:40" ht="15" thickBot="1" x14ac:dyDescent="0.35">
      <c r="A1" s="534" t="s">
        <v>606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6"/>
    </row>
    <row r="2" spans="1:40" ht="15" thickBot="1" x14ac:dyDescent="0.35">
      <c r="A2" s="537" t="s">
        <v>607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9"/>
    </row>
    <row r="3" spans="1:40" ht="29.25" customHeight="1" x14ac:dyDescent="0.3">
      <c r="A3" s="540" t="s">
        <v>497</v>
      </c>
      <c r="B3" s="542" t="s">
        <v>498</v>
      </c>
      <c r="C3" s="542" t="s">
        <v>10</v>
      </c>
      <c r="D3" s="542" t="s">
        <v>499</v>
      </c>
      <c r="E3" s="542" t="s">
        <v>500</v>
      </c>
      <c r="F3" s="542" t="s">
        <v>501</v>
      </c>
      <c r="G3" s="542"/>
      <c r="H3" s="542"/>
      <c r="I3" s="542" t="s">
        <v>11</v>
      </c>
      <c r="J3" s="542" t="s">
        <v>502</v>
      </c>
      <c r="K3" s="542" t="s">
        <v>503</v>
      </c>
      <c r="L3" s="426">
        <v>2021</v>
      </c>
      <c r="M3" s="426">
        <v>2021</v>
      </c>
      <c r="N3" s="426">
        <v>2021</v>
      </c>
      <c r="O3" s="426">
        <v>2021</v>
      </c>
      <c r="P3" s="426">
        <v>2021</v>
      </c>
      <c r="Q3" s="426">
        <v>2021</v>
      </c>
      <c r="R3" s="426">
        <v>2021</v>
      </c>
      <c r="S3" s="426">
        <v>2021</v>
      </c>
      <c r="T3" s="426">
        <v>2021</v>
      </c>
      <c r="U3" s="426">
        <v>2021</v>
      </c>
      <c r="V3" s="426">
        <v>2021</v>
      </c>
      <c r="W3" s="426">
        <v>2022</v>
      </c>
      <c r="X3" s="426">
        <v>2022</v>
      </c>
      <c r="Y3" s="426">
        <v>2022</v>
      </c>
      <c r="Z3" s="426">
        <v>2022</v>
      </c>
      <c r="AA3" s="426">
        <v>2022</v>
      </c>
      <c r="AB3" s="426">
        <v>2022</v>
      </c>
      <c r="AC3" s="426">
        <v>2022</v>
      </c>
      <c r="AD3" s="426">
        <v>2022</v>
      </c>
      <c r="AE3" s="426">
        <v>2022</v>
      </c>
      <c r="AF3" s="426">
        <v>2022</v>
      </c>
      <c r="AG3" s="426">
        <v>2022</v>
      </c>
      <c r="AH3" s="426">
        <v>2022</v>
      </c>
      <c r="AI3" s="426">
        <v>2023</v>
      </c>
      <c r="AJ3" s="426">
        <v>2023</v>
      </c>
      <c r="AK3" s="426">
        <v>2023</v>
      </c>
      <c r="AL3" s="426">
        <v>2023</v>
      </c>
      <c r="AM3" s="426">
        <v>2023</v>
      </c>
      <c r="AN3" s="436">
        <v>2023</v>
      </c>
    </row>
    <row r="4" spans="1:40" ht="15" thickBot="1" x14ac:dyDescent="0.35">
      <c r="A4" s="541"/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427">
        <v>2</v>
      </c>
      <c r="M4" s="427">
        <v>3</v>
      </c>
      <c r="N4" s="427">
        <v>4</v>
      </c>
      <c r="O4" s="427">
        <v>5</v>
      </c>
      <c r="P4" s="427">
        <v>6</v>
      </c>
      <c r="Q4" s="427">
        <v>7</v>
      </c>
      <c r="R4" s="427">
        <v>8</v>
      </c>
      <c r="S4" s="427">
        <v>9</v>
      </c>
      <c r="T4" s="427">
        <v>10</v>
      </c>
      <c r="U4" s="427">
        <v>11</v>
      </c>
      <c r="V4" s="427">
        <v>12</v>
      </c>
      <c r="W4" s="427">
        <v>1</v>
      </c>
      <c r="X4" s="427">
        <v>2</v>
      </c>
      <c r="Y4" s="427">
        <v>3</v>
      </c>
      <c r="Z4" s="427">
        <v>4</v>
      </c>
      <c r="AA4" s="427">
        <v>5</v>
      </c>
      <c r="AB4" s="427">
        <v>6</v>
      </c>
      <c r="AC4" s="427">
        <v>7</v>
      </c>
      <c r="AD4" s="427">
        <v>8</v>
      </c>
      <c r="AE4" s="427">
        <v>9</v>
      </c>
      <c r="AF4" s="427">
        <v>10</v>
      </c>
      <c r="AG4" s="427">
        <v>11</v>
      </c>
      <c r="AH4" s="427">
        <v>12</v>
      </c>
      <c r="AI4" s="427">
        <v>1</v>
      </c>
      <c r="AJ4" s="427">
        <v>2</v>
      </c>
      <c r="AK4" s="427">
        <v>3</v>
      </c>
      <c r="AL4" s="427">
        <v>4</v>
      </c>
      <c r="AM4" s="427">
        <v>5</v>
      </c>
      <c r="AN4" s="437">
        <v>6</v>
      </c>
    </row>
    <row r="5" spans="1:40" ht="88.5" customHeight="1" thickBot="1" x14ac:dyDescent="0.35">
      <c r="A5" s="544">
        <v>1</v>
      </c>
      <c r="B5" s="547" t="s">
        <v>504</v>
      </c>
      <c r="C5" s="547" t="s">
        <v>505</v>
      </c>
      <c r="D5" s="547" t="s">
        <v>506</v>
      </c>
      <c r="E5" s="547">
        <v>0</v>
      </c>
      <c r="F5" s="547" t="s">
        <v>507</v>
      </c>
      <c r="G5" s="547"/>
      <c r="H5" s="428" t="s">
        <v>508</v>
      </c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30">
        <v>77439880</v>
      </c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38"/>
    </row>
    <row r="6" spans="1:40" ht="15" thickBot="1" x14ac:dyDescent="0.35">
      <c r="A6" s="545"/>
      <c r="B6" s="548"/>
      <c r="C6" s="548"/>
      <c r="D6" s="548"/>
      <c r="E6" s="548"/>
      <c r="F6" s="548"/>
      <c r="G6" s="548"/>
      <c r="H6" s="431" t="s">
        <v>509</v>
      </c>
      <c r="I6" s="432">
        <v>77439880</v>
      </c>
      <c r="J6" s="433">
        <v>1</v>
      </c>
      <c r="K6" s="432">
        <v>77439880</v>
      </c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2">
        <v>77439880</v>
      </c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9"/>
    </row>
    <row r="7" spans="1:40" ht="15" thickBot="1" x14ac:dyDescent="0.35">
      <c r="A7" s="546"/>
      <c r="B7" s="549"/>
      <c r="C7" s="549"/>
      <c r="D7" s="549"/>
      <c r="E7" s="549"/>
      <c r="F7" s="549"/>
      <c r="G7" s="549"/>
      <c r="H7" s="440" t="s">
        <v>510</v>
      </c>
      <c r="I7" s="441"/>
      <c r="J7" s="441">
        <v>0</v>
      </c>
      <c r="K7" s="441">
        <v>0</v>
      </c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2"/>
    </row>
    <row r="9" spans="1:40" ht="15" thickBot="1" x14ac:dyDescent="0.35"/>
    <row r="10" spans="1:40" ht="15" thickBot="1" x14ac:dyDescent="0.35">
      <c r="A10" s="534" t="s">
        <v>608</v>
      </c>
      <c r="B10" s="535"/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6"/>
    </row>
    <row r="11" spans="1:40" ht="15" thickBot="1" x14ac:dyDescent="0.35">
      <c r="A11" s="537" t="s">
        <v>609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9"/>
    </row>
    <row r="12" spans="1:40" ht="29.25" customHeight="1" x14ac:dyDescent="0.3">
      <c r="A12" s="540" t="s">
        <v>497</v>
      </c>
      <c r="B12" s="542" t="s">
        <v>498</v>
      </c>
      <c r="C12" s="542" t="s">
        <v>10</v>
      </c>
      <c r="D12" s="542" t="s">
        <v>499</v>
      </c>
      <c r="E12" s="542" t="s">
        <v>500</v>
      </c>
      <c r="F12" s="542" t="s">
        <v>501</v>
      </c>
      <c r="G12" s="542"/>
      <c r="H12" s="542"/>
      <c r="I12" s="542" t="s">
        <v>11</v>
      </c>
      <c r="J12" s="542" t="s">
        <v>502</v>
      </c>
      <c r="K12" s="542" t="s">
        <v>503</v>
      </c>
      <c r="L12" s="426">
        <v>2021</v>
      </c>
      <c r="M12" s="426">
        <v>2021</v>
      </c>
      <c r="N12" s="426">
        <v>2021</v>
      </c>
      <c r="O12" s="426">
        <v>2021</v>
      </c>
      <c r="P12" s="426">
        <v>2021</v>
      </c>
      <c r="Q12" s="426">
        <v>2021</v>
      </c>
      <c r="R12" s="426">
        <v>2021</v>
      </c>
      <c r="S12" s="426">
        <v>2021</v>
      </c>
      <c r="T12" s="426">
        <v>2021</v>
      </c>
      <c r="U12" s="426">
        <v>2021</v>
      </c>
      <c r="V12" s="426">
        <v>2021</v>
      </c>
      <c r="W12" s="426">
        <v>2022</v>
      </c>
      <c r="X12" s="426">
        <v>2022</v>
      </c>
      <c r="Y12" s="426">
        <v>2022</v>
      </c>
      <c r="Z12" s="426">
        <v>2022</v>
      </c>
      <c r="AA12" s="426">
        <v>2022</v>
      </c>
      <c r="AB12" s="426">
        <v>2022</v>
      </c>
      <c r="AC12" s="426">
        <v>2022</v>
      </c>
      <c r="AD12" s="426">
        <v>2022</v>
      </c>
      <c r="AE12" s="426">
        <v>2022</v>
      </c>
      <c r="AF12" s="426">
        <v>2022</v>
      </c>
      <c r="AG12" s="426">
        <v>2022</v>
      </c>
      <c r="AH12" s="426">
        <v>2022</v>
      </c>
      <c r="AI12" s="426">
        <v>2023</v>
      </c>
      <c r="AJ12" s="426">
        <v>2023</v>
      </c>
      <c r="AK12" s="426">
        <v>2023</v>
      </c>
      <c r="AL12" s="426">
        <v>2023</v>
      </c>
      <c r="AM12" s="426">
        <v>2023</v>
      </c>
      <c r="AN12" s="436">
        <v>2023</v>
      </c>
    </row>
    <row r="13" spans="1:40" ht="15" thickBot="1" x14ac:dyDescent="0.35">
      <c r="A13" s="541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427">
        <v>2</v>
      </c>
      <c r="M13" s="427">
        <v>3</v>
      </c>
      <c r="N13" s="427">
        <v>4</v>
      </c>
      <c r="O13" s="427">
        <v>5</v>
      </c>
      <c r="P13" s="427">
        <v>6</v>
      </c>
      <c r="Q13" s="427">
        <v>7</v>
      </c>
      <c r="R13" s="427">
        <v>8</v>
      </c>
      <c r="S13" s="427">
        <v>9</v>
      </c>
      <c r="T13" s="427">
        <v>10</v>
      </c>
      <c r="U13" s="427">
        <v>11</v>
      </c>
      <c r="V13" s="427">
        <v>12</v>
      </c>
      <c r="W13" s="427">
        <v>1</v>
      </c>
      <c r="X13" s="427">
        <v>2</v>
      </c>
      <c r="Y13" s="427">
        <v>3</v>
      </c>
      <c r="Z13" s="427">
        <v>4</v>
      </c>
      <c r="AA13" s="427">
        <v>5</v>
      </c>
      <c r="AB13" s="427">
        <v>6</v>
      </c>
      <c r="AC13" s="427">
        <v>7</v>
      </c>
      <c r="AD13" s="427">
        <v>8</v>
      </c>
      <c r="AE13" s="427">
        <v>9</v>
      </c>
      <c r="AF13" s="427">
        <v>10</v>
      </c>
      <c r="AG13" s="427">
        <v>11</v>
      </c>
      <c r="AH13" s="427">
        <v>12</v>
      </c>
      <c r="AI13" s="427">
        <v>1</v>
      </c>
      <c r="AJ13" s="427">
        <v>2</v>
      </c>
      <c r="AK13" s="427">
        <v>3</v>
      </c>
      <c r="AL13" s="427">
        <v>4</v>
      </c>
      <c r="AM13" s="427">
        <v>5</v>
      </c>
      <c r="AN13" s="437">
        <v>6</v>
      </c>
    </row>
    <row r="14" spans="1:40" ht="16.5" customHeight="1" thickBot="1" x14ac:dyDescent="0.35">
      <c r="A14" s="544">
        <v>1</v>
      </c>
      <c r="B14" s="547" t="s">
        <v>513</v>
      </c>
      <c r="C14" s="547" t="s">
        <v>505</v>
      </c>
      <c r="D14" s="547" t="s">
        <v>514</v>
      </c>
      <c r="E14" s="547" t="s">
        <v>610</v>
      </c>
      <c r="F14" s="547" t="s">
        <v>507</v>
      </c>
      <c r="G14" s="547"/>
      <c r="H14" s="428" t="s">
        <v>508</v>
      </c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30">
        <v>13483000</v>
      </c>
      <c r="W14" s="429"/>
      <c r="X14" s="429"/>
      <c r="Y14" s="429"/>
      <c r="Z14" s="430">
        <v>110613317</v>
      </c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38"/>
    </row>
    <row r="15" spans="1:40" ht="15" thickBot="1" x14ac:dyDescent="0.35">
      <c r="A15" s="545"/>
      <c r="B15" s="548"/>
      <c r="C15" s="548"/>
      <c r="D15" s="548"/>
      <c r="E15" s="548"/>
      <c r="F15" s="548"/>
      <c r="G15" s="548"/>
      <c r="H15" s="431" t="s">
        <v>509</v>
      </c>
      <c r="I15" s="432">
        <v>124096317</v>
      </c>
      <c r="J15" s="433">
        <v>1</v>
      </c>
      <c r="K15" s="432">
        <v>124096317</v>
      </c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2">
        <v>13483000</v>
      </c>
      <c r="W15" s="433"/>
      <c r="X15" s="433"/>
      <c r="Y15" s="433"/>
      <c r="Z15" s="432">
        <v>110613317</v>
      </c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9"/>
    </row>
    <row r="16" spans="1:40" ht="15" thickBot="1" x14ac:dyDescent="0.35">
      <c r="A16" s="550"/>
      <c r="B16" s="551"/>
      <c r="C16" s="551"/>
      <c r="D16" s="551"/>
      <c r="E16" s="551"/>
      <c r="F16" s="551"/>
      <c r="G16" s="551"/>
      <c r="H16" s="434" t="s">
        <v>510</v>
      </c>
      <c r="I16" s="422">
        <v>94381008</v>
      </c>
      <c r="J16" s="435">
        <v>1</v>
      </c>
      <c r="K16" s="422">
        <v>94381008</v>
      </c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22">
        <v>26966000</v>
      </c>
      <c r="W16" s="422">
        <v>13483000</v>
      </c>
      <c r="X16" s="422">
        <v>13483000</v>
      </c>
      <c r="Y16" s="435"/>
      <c r="Z16" s="435"/>
      <c r="AA16" s="422">
        <v>13483000</v>
      </c>
      <c r="AB16" s="435"/>
      <c r="AC16" s="435"/>
      <c r="AD16" s="435"/>
      <c r="AE16" s="435"/>
      <c r="AF16" s="435"/>
      <c r="AG16" s="435"/>
      <c r="AH16" s="435"/>
      <c r="AI16" s="422">
        <v>13483000</v>
      </c>
      <c r="AJ16" s="435"/>
      <c r="AK16" s="435"/>
      <c r="AL16" s="435"/>
      <c r="AM16" s="435"/>
      <c r="AN16" s="443">
        <v>13483008</v>
      </c>
    </row>
    <row r="17" spans="1:40" ht="15" thickBot="1" x14ac:dyDescent="0.35">
      <c r="A17" s="537" t="s">
        <v>611</v>
      </c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  <c r="AG17" s="538"/>
      <c r="AH17" s="538"/>
      <c r="AI17" s="538"/>
      <c r="AJ17" s="538"/>
      <c r="AK17" s="538"/>
      <c r="AL17" s="538"/>
      <c r="AM17" s="538"/>
      <c r="AN17" s="539"/>
    </row>
    <row r="18" spans="1:40" ht="29.25" customHeight="1" x14ac:dyDescent="0.3">
      <c r="A18" s="540" t="s">
        <v>497</v>
      </c>
      <c r="B18" s="542" t="s">
        <v>498</v>
      </c>
      <c r="C18" s="542" t="s">
        <v>10</v>
      </c>
      <c r="D18" s="542" t="s">
        <v>499</v>
      </c>
      <c r="E18" s="542" t="s">
        <v>500</v>
      </c>
      <c r="F18" s="542" t="s">
        <v>501</v>
      </c>
      <c r="G18" s="542"/>
      <c r="H18" s="542"/>
      <c r="I18" s="542" t="s">
        <v>11</v>
      </c>
      <c r="J18" s="542" t="s">
        <v>502</v>
      </c>
      <c r="K18" s="542" t="s">
        <v>503</v>
      </c>
      <c r="L18" s="426">
        <v>2021</v>
      </c>
      <c r="M18" s="426">
        <v>2021</v>
      </c>
      <c r="N18" s="426">
        <v>2021</v>
      </c>
      <c r="O18" s="426">
        <v>2021</v>
      </c>
      <c r="P18" s="426">
        <v>2021</v>
      </c>
      <c r="Q18" s="426">
        <v>2021</v>
      </c>
      <c r="R18" s="426">
        <v>2021</v>
      </c>
      <c r="S18" s="426">
        <v>2021</v>
      </c>
      <c r="T18" s="426">
        <v>2021</v>
      </c>
      <c r="U18" s="426">
        <v>2021</v>
      </c>
      <c r="V18" s="426">
        <v>2021</v>
      </c>
      <c r="W18" s="426">
        <v>2022</v>
      </c>
      <c r="X18" s="426">
        <v>2022</v>
      </c>
      <c r="Y18" s="426">
        <v>2022</v>
      </c>
      <c r="Z18" s="426">
        <v>2022</v>
      </c>
      <c r="AA18" s="426">
        <v>2022</v>
      </c>
      <c r="AB18" s="426">
        <v>2022</v>
      </c>
      <c r="AC18" s="426">
        <v>2022</v>
      </c>
      <c r="AD18" s="426">
        <v>2022</v>
      </c>
      <c r="AE18" s="426">
        <v>2022</v>
      </c>
      <c r="AF18" s="426">
        <v>2022</v>
      </c>
      <c r="AG18" s="426">
        <v>2022</v>
      </c>
      <c r="AH18" s="426">
        <v>2022</v>
      </c>
      <c r="AI18" s="426">
        <v>2023</v>
      </c>
      <c r="AJ18" s="426">
        <v>2023</v>
      </c>
      <c r="AK18" s="426">
        <v>2023</v>
      </c>
      <c r="AL18" s="426">
        <v>2023</v>
      </c>
      <c r="AM18" s="426">
        <v>2023</v>
      </c>
      <c r="AN18" s="436">
        <v>2023</v>
      </c>
    </row>
    <row r="19" spans="1:40" ht="15" thickBot="1" x14ac:dyDescent="0.35">
      <c r="A19" s="541"/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427">
        <v>2</v>
      </c>
      <c r="M19" s="427">
        <v>3</v>
      </c>
      <c r="N19" s="427">
        <v>4</v>
      </c>
      <c r="O19" s="427">
        <v>5</v>
      </c>
      <c r="P19" s="427">
        <v>6</v>
      </c>
      <c r="Q19" s="427">
        <v>7</v>
      </c>
      <c r="R19" s="427">
        <v>8</v>
      </c>
      <c r="S19" s="427">
        <v>9</v>
      </c>
      <c r="T19" s="427">
        <v>10</v>
      </c>
      <c r="U19" s="427">
        <v>11</v>
      </c>
      <c r="V19" s="427">
        <v>12</v>
      </c>
      <c r="W19" s="427">
        <v>1</v>
      </c>
      <c r="X19" s="427">
        <v>2</v>
      </c>
      <c r="Y19" s="427">
        <v>3</v>
      </c>
      <c r="Z19" s="427">
        <v>4</v>
      </c>
      <c r="AA19" s="427">
        <v>5</v>
      </c>
      <c r="AB19" s="427">
        <v>6</v>
      </c>
      <c r="AC19" s="427">
        <v>7</v>
      </c>
      <c r="AD19" s="427">
        <v>8</v>
      </c>
      <c r="AE19" s="427">
        <v>9</v>
      </c>
      <c r="AF19" s="427">
        <v>10</v>
      </c>
      <c r="AG19" s="427">
        <v>11</v>
      </c>
      <c r="AH19" s="427">
        <v>12</v>
      </c>
      <c r="AI19" s="427">
        <v>1</v>
      </c>
      <c r="AJ19" s="427">
        <v>2</v>
      </c>
      <c r="AK19" s="427">
        <v>3</v>
      </c>
      <c r="AL19" s="427">
        <v>4</v>
      </c>
      <c r="AM19" s="427">
        <v>5</v>
      </c>
      <c r="AN19" s="437">
        <v>6</v>
      </c>
    </row>
    <row r="20" spans="1:40" ht="16.5" customHeight="1" thickBot="1" x14ac:dyDescent="0.35">
      <c r="A20" s="544">
        <v>1</v>
      </c>
      <c r="B20" s="547" t="s">
        <v>516</v>
      </c>
      <c r="C20" s="547" t="s">
        <v>505</v>
      </c>
      <c r="D20" s="547" t="s">
        <v>517</v>
      </c>
      <c r="E20" s="547" t="s">
        <v>612</v>
      </c>
      <c r="F20" s="547" t="s">
        <v>507</v>
      </c>
      <c r="G20" s="547"/>
      <c r="H20" s="428" t="s">
        <v>508</v>
      </c>
      <c r="I20" s="429"/>
      <c r="J20" s="429"/>
      <c r="K20" s="429"/>
      <c r="L20" s="429"/>
      <c r="M20" s="430">
        <v>83221547</v>
      </c>
      <c r="N20" s="430">
        <v>28571820</v>
      </c>
      <c r="O20" s="430">
        <v>4122313</v>
      </c>
      <c r="P20" s="430">
        <v>73348448</v>
      </c>
      <c r="Q20" s="430">
        <v>60572016</v>
      </c>
      <c r="R20" s="430">
        <v>146478943</v>
      </c>
      <c r="S20" s="430">
        <v>285484227</v>
      </c>
      <c r="T20" s="430">
        <v>297140289</v>
      </c>
      <c r="U20" s="430">
        <v>441720197</v>
      </c>
      <c r="V20" s="430">
        <v>126180977</v>
      </c>
      <c r="W20" s="430">
        <v>138799074</v>
      </c>
      <c r="X20" s="430">
        <v>151417172</v>
      </c>
      <c r="Y20" s="430">
        <v>845412544</v>
      </c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38"/>
    </row>
    <row r="21" spans="1:40" ht="15" thickBot="1" x14ac:dyDescent="0.35">
      <c r="A21" s="545"/>
      <c r="B21" s="548"/>
      <c r="C21" s="548"/>
      <c r="D21" s="548"/>
      <c r="E21" s="548"/>
      <c r="F21" s="548"/>
      <c r="G21" s="548"/>
      <c r="H21" s="431" t="s">
        <v>509</v>
      </c>
      <c r="I21" s="432">
        <v>2682469567</v>
      </c>
      <c r="J21" s="433">
        <v>1</v>
      </c>
      <c r="K21" s="432">
        <v>2682469567</v>
      </c>
      <c r="L21" s="433"/>
      <c r="M21" s="432">
        <v>83221547</v>
      </c>
      <c r="N21" s="432">
        <v>28571820</v>
      </c>
      <c r="O21" s="432">
        <v>4122313</v>
      </c>
      <c r="P21" s="432">
        <v>73348448</v>
      </c>
      <c r="Q21" s="432">
        <v>60572016</v>
      </c>
      <c r="R21" s="432">
        <v>146478943</v>
      </c>
      <c r="S21" s="432">
        <v>285484227</v>
      </c>
      <c r="T21" s="432">
        <v>297140289</v>
      </c>
      <c r="U21" s="432">
        <v>441720197</v>
      </c>
      <c r="V21" s="432">
        <v>126180977</v>
      </c>
      <c r="W21" s="432">
        <v>138799074</v>
      </c>
      <c r="X21" s="432">
        <v>151417172</v>
      </c>
      <c r="Y21" s="432">
        <v>845412544</v>
      </c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9"/>
    </row>
    <row r="22" spans="1:40" ht="15" thickBot="1" x14ac:dyDescent="0.35">
      <c r="A22" s="550"/>
      <c r="B22" s="551"/>
      <c r="C22" s="551"/>
      <c r="D22" s="551"/>
      <c r="E22" s="551"/>
      <c r="F22" s="551"/>
      <c r="G22" s="551"/>
      <c r="H22" s="434" t="s">
        <v>510</v>
      </c>
      <c r="I22" s="422">
        <v>1082740626</v>
      </c>
      <c r="J22" s="435">
        <v>1</v>
      </c>
      <c r="K22" s="422">
        <v>1082740626</v>
      </c>
      <c r="L22" s="435"/>
      <c r="M22" s="422">
        <v>83221547</v>
      </c>
      <c r="N22" s="422">
        <v>28571820</v>
      </c>
      <c r="O22" s="422">
        <v>4122313</v>
      </c>
      <c r="P22" s="422">
        <v>73348448</v>
      </c>
      <c r="Q22" s="422">
        <v>60572016</v>
      </c>
      <c r="R22" s="422">
        <v>146478943</v>
      </c>
      <c r="S22" s="422">
        <v>168292043</v>
      </c>
      <c r="T22" s="422">
        <v>26755951</v>
      </c>
      <c r="U22" s="422">
        <v>48760055</v>
      </c>
      <c r="V22" s="422">
        <v>46324565</v>
      </c>
      <c r="W22" s="422">
        <v>74080429</v>
      </c>
      <c r="X22" s="422">
        <v>69702937</v>
      </c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22">
        <v>252509559</v>
      </c>
      <c r="AM22" s="435"/>
      <c r="AN22" s="444"/>
    </row>
    <row r="23" spans="1:40" ht="15" thickBot="1" x14ac:dyDescent="0.35">
      <c r="A23" s="537" t="s">
        <v>613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8"/>
      <c r="AN23" s="539"/>
    </row>
    <row r="24" spans="1:40" ht="29.25" customHeight="1" x14ac:dyDescent="0.3">
      <c r="A24" s="540" t="s">
        <v>497</v>
      </c>
      <c r="B24" s="542" t="s">
        <v>498</v>
      </c>
      <c r="C24" s="542" t="s">
        <v>10</v>
      </c>
      <c r="D24" s="542" t="s">
        <v>499</v>
      </c>
      <c r="E24" s="542" t="s">
        <v>500</v>
      </c>
      <c r="F24" s="542" t="s">
        <v>501</v>
      </c>
      <c r="G24" s="542"/>
      <c r="H24" s="542"/>
      <c r="I24" s="542" t="s">
        <v>11</v>
      </c>
      <c r="J24" s="542" t="s">
        <v>502</v>
      </c>
      <c r="K24" s="542" t="s">
        <v>503</v>
      </c>
      <c r="L24" s="426">
        <v>2021</v>
      </c>
      <c r="M24" s="426">
        <v>2021</v>
      </c>
      <c r="N24" s="426">
        <v>2021</v>
      </c>
      <c r="O24" s="426">
        <v>2021</v>
      </c>
      <c r="P24" s="426">
        <v>2021</v>
      </c>
      <c r="Q24" s="426">
        <v>2021</v>
      </c>
      <c r="R24" s="426">
        <v>2021</v>
      </c>
      <c r="S24" s="426">
        <v>2021</v>
      </c>
      <c r="T24" s="426">
        <v>2021</v>
      </c>
      <c r="U24" s="426">
        <v>2021</v>
      </c>
      <c r="V24" s="426">
        <v>2021</v>
      </c>
      <c r="W24" s="426">
        <v>2022</v>
      </c>
      <c r="X24" s="426">
        <v>2022</v>
      </c>
      <c r="Y24" s="426">
        <v>2022</v>
      </c>
      <c r="Z24" s="426">
        <v>2022</v>
      </c>
      <c r="AA24" s="426">
        <v>2022</v>
      </c>
      <c r="AB24" s="426">
        <v>2022</v>
      </c>
      <c r="AC24" s="426">
        <v>2022</v>
      </c>
      <c r="AD24" s="426">
        <v>2022</v>
      </c>
      <c r="AE24" s="426">
        <v>2022</v>
      </c>
      <c r="AF24" s="426">
        <v>2022</v>
      </c>
      <c r="AG24" s="426">
        <v>2022</v>
      </c>
      <c r="AH24" s="426">
        <v>2022</v>
      </c>
      <c r="AI24" s="426">
        <v>2023</v>
      </c>
      <c r="AJ24" s="426">
        <v>2023</v>
      </c>
      <c r="AK24" s="426">
        <v>2023</v>
      </c>
      <c r="AL24" s="426">
        <v>2023</v>
      </c>
      <c r="AM24" s="426">
        <v>2023</v>
      </c>
      <c r="AN24" s="436">
        <v>2023</v>
      </c>
    </row>
    <row r="25" spans="1:40" ht="15" thickBot="1" x14ac:dyDescent="0.35">
      <c r="A25" s="541"/>
      <c r="B25" s="543"/>
      <c r="C25" s="543"/>
      <c r="D25" s="543"/>
      <c r="E25" s="543"/>
      <c r="F25" s="543"/>
      <c r="G25" s="543"/>
      <c r="H25" s="543"/>
      <c r="I25" s="543"/>
      <c r="J25" s="543"/>
      <c r="K25" s="543"/>
      <c r="L25" s="427">
        <v>2</v>
      </c>
      <c r="M25" s="427">
        <v>3</v>
      </c>
      <c r="N25" s="427">
        <v>4</v>
      </c>
      <c r="O25" s="427">
        <v>5</v>
      </c>
      <c r="P25" s="427">
        <v>6</v>
      </c>
      <c r="Q25" s="427">
        <v>7</v>
      </c>
      <c r="R25" s="427">
        <v>8</v>
      </c>
      <c r="S25" s="427">
        <v>9</v>
      </c>
      <c r="T25" s="427">
        <v>10</v>
      </c>
      <c r="U25" s="427">
        <v>11</v>
      </c>
      <c r="V25" s="427">
        <v>12</v>
      </c>
      <c r="W25" s="427">
        <v>1</v>
      </c>
      <c r="X25" s="427">
        <v>2</v>
      </c>
      <c r="Y25" s="427">
        <v>3</v>
      </c>
      <c r="Z25" s="427">
        <v>4</v>
      </c>
      <c r="AA25" s="427">
        <v>5</v>
      </c>
      <c r="AB25" s="427">
        <v>6</v>
      </c>
      <c r="AC25" s="427">
        <v>7</v>
      </c>
      <c r="AD25" s="427">
        <v>8</v>
      </c>
      <c r="AE25" s="427">
        <v>9</v>
      </c>
      <c r="AF25" s="427">
        <v>10</v>
      </c>
      <c r="AG25" s="427">
        <v>11</v>
      </c>
      <c r="AH25" s="427">
        <v>12</v>
      </c>
      <c r="AI25" s="427">
        <v>1</v>
      </c>
      <c r="AJ25" s="427">
        <v>2</v>
      </c>
      <c r="AK25" s="427">
        <v>3</v>
      </c>
      <c r="AL25" s="427">
        <v>4</v>
      </c>
      <c r="AM25" s="427">
        <v>5</v>
      </c>
      <c r="AN25" s="437">
        <v>6</v>
      </c>
    </row>
    <row r="26" spans="1:40" ht="28.5" customHeight="1" thickBot="1" x14ac:dyDescent="0.35">
      <c r="A26" s="544">
        <v>1</v>
      </c>
      <c r="B26" s="547" t="s">
        <v>520</v>
      </c>
      <c r="C26" s="547" t="s">
        <v>505</v>
      </c>
      <c r="D26" s="547" t="s">
        <v>521</v>
      </c>
      <c r="E26" s="547" t="s">
        <v>614</v>
      </c>
      <c r="F26" s="547" t="s">
        <v>507</v>
      </c>
      <c r="G26" s="547"/>
      <c r="H26" s="428" t="s">
        <v>508</v>
      </c>
      <c r="I26" s="429"/>
      <c r="J26" s="429"/>
      <c r="K26" s="429"/>
      <c r="L26" s="429"/>
      <c r="M26" s="429"/>
      <c r="N26" s="429"/>
      <c r="O26" s="430">
        <v>152893</v>
      </c>
      <c r="P26" s="429"/>
      <c r="Q26" s="430">
        <v>305787</v>
      </c>
      <c r="R26" s="429"/>
      <c r="S26" s="430">
        <v>428101</v>
      </c>
      <c r="T26" s="429"/>
      <c r="U26" s="429"/>
      <c r="V26" s="430">
        <v>79505</v>
      </c>
      <c r="W26" s="430">
        <v>87455</v>
      </c>
      <c r="X26" s="430">
        <v>628086</v>
      </c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38"/>
    </row>
    <row r="27" spans="1:40" ht="15" thickBot="1" x14ac:dyDescent="0.35">
      <c r="A27" s="545"/>
      <c r="B27" s="548"/>
      <c r="C27" s="548"/>
      <c r="D27" s="548"/>
      <c r="E27" s="548"/>
      <c r="F27" s="548"/>
      <c r="G27" s="548"/>
      <c r="H27" s="431" t="s">
        <v>509</v>
      </c>
      <c r="I27" s="432">
        <v>1681827</v>
      </c>
      <c r="J27" s="433">
        <v>1</v>
      </c>
      <c r="K27" s="432">
        <v>1681827</v>
      </c>
      <c r="L27" s="433"/>
      <c r="M27" s="433"/>
      <c r="N27" s="433"/>
      <c r="O27" s="432">
        <v>152893</v>
      </c>
      <c r="P27" s="433"/>
      <c r="Q27" s="432">
        <v>305787</v>
      </c>
      <c r="R27" s="433"/>
      <c r="S27" s="432">
        <v>428101</v>
      </c>
      <c r="T27" s="433"/>
      <c r="U27" s="433"/>
      <c r="V27" s="432">
        <v>79505</v>
      </c>
      <c r="W27" s="432">
        <v>87455</v>
      </c>
      <c r="X27" s="432">
        <v>628086</v>
      </c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9"/>
    </row>
    <row r="28" spans="1:40" ht="15" thickBot="1" x14ac:dyDescent="0.35">
      <c r="A28" s="550"/>
      <c r="B28" s="551"/>
      <c r="C28" s="551"/>
      <c r="D28" s="551"/>
      <c r="E28" s="551"/>
      <c r="F28" s="551"/>
      <c r="G28" s="551"/>
      <c r="H28" s="434" t="s">
        <v>510</v>
      </c>
      <c r="I28" s="422">
        <v>313671740</v>
      </c>
      <c r="J28" s="435">
        <v>1</v>
      </c>
      <c r="K28" s="422">
        <v>313671740</v>
      </c>
      <c r="L28" s="435"/>
      <c r="M28" s="435"/>
      <c r="N28" s="435"/>
      <c r="O28" s="422">
        <v>152893</v>
      </c>
      <c r="P28" s="435"/>
      <c r="Q28" s="422">
        <v>305787</v>
      </c>
      <c r="R28" s="435"/>
      <c r="S28" s="422">
        <v>917360</v>
      </c>
      <c r="T28" s="435"/>
      <c r="U28" s="422">
        <v>152894</v>
      </c>
      <c r="V28" s="422">
        <v>152893</v>
      </c>
      <c r="W28" s="435"/>
      <c r="X28" s="435"/>
      <c r="Y28" s="422">
        <v>66204679</v>
      </c>
      <c r="Z28" s="422">
        <v>245785234</v>
      </c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44"/>
    </row>
    <row r="29" spans="1:40" ht="15" thickBot="1" x14ac:dyDescent="0.35">
      <c r="A29" s="537" t="s">
        <v>615</v>
      </c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9"/>
    </row>
    <row r="30" spans="1:40" ht="29.25" customHeight="1" x14ac:dyDescent="0.3">
      <c r="A30" s="540" t="s">
        <v>497</v>
      </c>
      <c r="B30" s="542" t="s">
        <v>498</v>
      </c>
      <c r="C30" s="542" t="s">
        <v>10</v>
      </c>
      <c r="D30" s="542" t="s">
        <v>499</v>
      </c>
      <c r="E30" s="542" t="s">
        <v>500</v>
      </c>
      <c r="F30" s="542" t="s">
        <v>501</v>
      </c>
      <c r="G30" s="542"/>
      <c r="H30" s="542"/>
      <c r="I30" s="542" t="s">
        <v>11</v>
      </c>
      <c r="J30" s="542" t="s">
        <v>502</v>
      </c>
      <c r="K30" s="542" t="s">
        <v>503</v>
      </c>
      <c r="L30" s="426">
        <v>2021</v>
      </c>
      <c r="M30" s="426">
        <v>2021</v>
      </c>
      <c r="N30" s="426">
        <v>2021</v>
      </c>
      <c r="O30" s="426">
        <v>2021</v>
      </c>
      <c r="P30" s="426">
        <v>2021</v>
      </c>
      <c r="Q30" s="426">
        <v>2021</v>
      </c>
      <c r="R30" s="426">
        <v>2021</v>
      </c>
      <c r="S30" s="426">
        <v>2021</v>
      </c>
      <c r="T30" s="426">
        <v>2021</v>
      </c>
      <c r="U30" s="426">
        <v>2021</v>
      </c>
      <c r="V30" s="426">
        <v>2021</v>
      </c>
      <c r="W30" s="426">
        <v>2022</v>
      </c>
      <c r="X30" s="426">
        <v>2022</v>
      </c>
      <c r="Y30" s="426">
        <v>2022</v>
      </c>
      <c r="Z30" s="426">
        <v>2022</v>
      </c>
      <c r="AA30" s="426">
        <v>2022</v>
      </c>
      <c r="AB30" s="426">
        <v>2022</v>
      </c>
      <c r="AC30" s="426">
        <v>2022</v>
      </c>
      <c r="AD30" s="426">
        <v>2022</v>
      </c>
      <c r="AE30" s="426">
        <v>2022</v>
      </c>
      <c r="AF30" s="426">
        <v>2022</v>
      </c>
      <c r="AG30" s="426">
        <v>2022</v>
      </c>
      <c r="AH30" s="426">
        <v>2022</v>
      </c>
      <c r="AI30" s="426">
        <v>2023</v>
      </c>
      <c r="AJ30" s="426">
        <v>2023</v>
      </c>
      <c r="AK30" s="426">
        <v>2023</v>
      </c>
      <c r="AL30" s="426">
        <v>2023</v>
      </c>
      <c r="AM30" s="426">
        <v>2023</v>
      </c>
      <c r="AN30" s="436">
        <v>2023</v>
      </c>
    </row>
    <row r="31" spans="1:40" ht="15" thickBot="1" x14ac:dyDescent="0.35">
      <c r="A31" s="541"/>
      <c r="B31" s="543"/>
      <c r="C31" s="543"/>
      <c r="D31" s="543"/>
      <c r="E31" s="543"/>
      <c r="F31" s="543"/>
      <c r="G31" s="543"/>
      <c r="H31" s="543"/>
      <c r="I31" s="543"/>
      <c r="J31" s="543"/>
      <c r="K31" s="543"/>
      <c r="L31" s="427">
        <v>2</v>
      </c>
      <c r="M31" s="427">
        <v>3</v>
      </c>
      <c r="N31" s="427">
        <v>4</v>
      </c>
      <c r="O31" s="427">
        <v>5</v>
      </c>
      <c r="P31" s="427">
        <v>6</v>
      </c>
      <c r="Q31" s="427">
        <v>7</v>
      </c>
      <c r="R31" s="427">
        <v>8</v>
      </c>
      <c r="S31" s="427">
        <v>9</v>
      </c>
      <c r="T31" s="427">
        <v>10</v>
      </c>
      <c r="U31" s="427">
        <v>11</v>
      </c>
      <c r="V31" s="427">
        <v>12</v>
      </c>
      <c r="W31" s="427">
        <v>1</v>
      </c>
      <c r="X31" s="427">
        <v>2</v>
      </c>
      <c r="Y31" s="427">
        <v>3</v>
      </c>
      <c r="Z31" s="427">
        <v>4</v>
      </c>
      <c r="AA31" s="427">
        <v>5</v>
      </c>
      <c r="AB31" s="427">
        <v>6</v>
      </c>
      <c r="AC31" s="427">
        <v>7</v>
      </c>
      <c r="AD31" s="427">
        <v>8</v>
      </c>
      <c r="AE31" s="427">
        <v>9</v>
      </c>
      <c r="AF31" s="427">
        <v>10</v>
      </c>
      <c r="AG31" s="427">
        <v>11</v>
      </c>
      <c r="AH31" s="427">
        <v>12</v>
      </c>
      <c r="AI31" s="427">
        <v>1</v>
      </c>
      <c r="AJ31" s="427">
        <v>2</v>
      </c>
      <c r="AK31" s="427">
        <v>3</v>
      </c>
      <c r="AL31" s="427">
        <v>4</v>
      </c>
      <c r="AM31" s="427">
        <v>5</v>
      </c>
      <c r="AN31" s="437">
        <v>6</v>
      </c>
    </row>
    <row r="32" spans="1:40" ht="76.5" customHeight="1" thickBot="1" x14ac:dyDescent="0.35">
      <c r="A32" s="544">
        <v>1</v>
      </c>
      <c r="B32" s="547" t="s">
        <v>524</v>
      </c>
      <c r="C32" s="547" t="s">
        <v>505</v>
      </c>
      <c r="D32" s="547" t="s">
        <v>525</v>
      </c>
      <c r="E32" s="547" t="s">
        <v>616</v>
      </c>
      <c r="F32" s="547" t="s">
        <v>507</v>
      </c>
      <c r="G32" s="547"/>
      <c r="H32" s="428" t="s">
        <v>508</v>
      </c>
      <c r="I32" s="429"/>
      <c r="J32" s="429"/>
      <c r="K32" s="429"/>
      <c r="L32" s="429"/>
      <c r="M32" s="430">
        <v>966088951</v>
      </c>
      <c r="N32" s="430">
        <v>1705485459</v>
      </c>
      <c r="O32" s="430">
        <v>1001152961</v>
      </c>
      <c r="P32" s="430">
        <v>1116538819</v>
      </c>
      <c r="Q32" s="430">
        <v>652694615</v>
      </c>
      <c r="R32" s="430">
        <v>1505132065</v>
      </c>
      <c r="S32" s="430">
        <v>892018227</v>
      </c>
      <c r="T32" s="430">
        <v>1257080909</v>
      </c>
      <c r="U32" s="430">
        <v>2640879435</v>
      </c>
      <c r="V32" s="430">
        <v>937255492</v>
      </c>
      <c r="W32" s="430">
        <v>1030981041</v>
      </c>
      <c r="X32" s="430">
        <v>1124706590</v>
      </c>
      <c r="Y32" s="430">
        <v>6279611795</v>
      </c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38"/>
    </row>
    <row r="33" spans="1:40" ht="15" thickBot="1" x14ac:dyDescent="0.35">
      <c r="A33" s="545"/>
      <c r="B33" s="548"/>
      <c r="C33" s="548"/>
      <c r="D33" s="548"/>
      <c r="E33" s="548"/>
      <c r="F33" s="548"/>
      <c r="G33" s="548"/>
      <c r="H33" s="431" t="s">
        <v>509</v>
      </c>
      <c r="I33" s="432">
        <v>21109626359</v>
      </c>
      <c r="J33" s="433">
        <v>1</v>
      </c>
      <c r="K33" s="432">
        <v>21109626359</v>
      </c>
      <c r="L33" s="433"/>
      <c r="M33" s="432">
        <v>966088951</v>
      </c>
      <c r="N33" s="432">
        <v>1705485459</v>
      </c>
      <c r="O33" s="432">
        <v>1001152961</v>
      </c>
      <c r="P33" s="432">
        <v>1116538819</v>
      </c>
      <c r="Q33" s="432">
        <v>652694615</v>
      </c>
      <c r="R33" s="432">
        <v>1505132065</v>
      </c>
      <c r="S33" s="432">
        <v>892018227</v>
      </c>
      <c r="T33" s="432">
        <v>1257080909</v>
      </c>
      <c r="U33" s="432">
        <v>2640879435</v>
      </c>
      <c r="V33" s="432">
        <v>937255492</v>
      </c>
      <c r="W33" s="432">
        <v>1030981041</v>
      </c>
      <c r="X33" s="432">
        <v>1124706590</v>
      </c>
      <c r="Y33" s="432">
        <v>6279611795</v>
      </c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9"/>
    </row>
    <row r="34" spans="1:40" ht="15" thickBot="1" x14ac:dyDescent="0.35">
      <c r="A34" s="550"/>
      <c r="B34" s="551"/>
      <c r="C34" s="551"/>
      <c r="D34" s="551"/>
      <c r="E34" s="551"/>
      <c r="F34" s="551"/>
      <c r="G34" s="551"/>
      <c r="H34" s="434" t="s">
        <v>510</v>
      </c>
      <c r="I34" s="422">
        <v>17650228604</v>
      </c>
      <c r="J34" s="435">
        <v>1</v>
      </c>
      <c r="K34" s="422">
        <v>17650228604</v>
      </c>
      <c r="L34" s="435"/>
      <c r="M34" s="422">
        <v>966088951</v>
      </c>
      <c r="N34" s="422">
        <v>1705485459</v>
      </c>
      <c r="O34" s="422">
        <v>1001152961</v>
      </c>
      <c r="P34" s="422">
        <v>1116538819</v>
      </c>
      <c r="Q34" s="422">
        <v>652694615</v>
      </c>
      <c r="R34" s="422">
        <v>1505132065</v>
      </c>
      <c r="S34" s="422">
        <v>1030777210</v>
      </c>
      <c r="T34" s="422">
        <v>991830816</v>
      </c>
      <c r="U34" s="422">
        <v>1015373124</v>
      </c>
      <c r="V34" s="422">
        <v>1726646452</v>
      </c>
      <c r="W34" s="422">
        <v>891606621</v>
      </c>
      <c r="X34" s="422">
        <v>607722395</v>
      </c>
      <c r="Y34" s="422">
        <v>836276919</v>
      </c>
      <c r="Z34" s="422">
        <v>1854651534</v>
      </c>
      <c r="AA34" s="422">
        <v>304554446</v>
      </c>
      <c r="AB34" s="435"/>
      <c r="AC34" s="435"/>
      <c r="AD34" s="435"/>
      <c r="AE34" s="435"/>
      <c r="AF34" s="435"/>
      <c r="AG34" s="422">
        <v>15782802</v>
      </c>
      <c r="AH34" s="422">
        <v>142045212</v>
      </c>
      <c r="AI34" s="422">
        <v>98174176</v>
      </c>
      <c r="AJ34" s="422">
        <v>222672869</v>
      </c>
      <c r="AK34" s="422">
        <v>137959773</v>
      </c>
      <c r="AL34" s="422">
        <v>150289777</v>
      </c>
      <c r="AM34" s="422">
        <v>400047239</v>
      </c>
      <c r="AN34" s="443">
        <v>276724369</v>
      </c>
    </row>
    <row r="35" spans="1:40" ht="15" thickBot="1" x14ac:dyDescent="0.35">
      <c r="A35" s="537" t="s">
        <v>617</v>
      </c>
      <c r="B35" s="538"/>
      <c r="C35" s="538"/>
      <c r="D35" s="538"/>
      <c r="E35" s="538"/>
      <c r="F35" s="538"/>
      <c r="G35" s="538"/>
      <c r="H35" s="538"/>
      <c r="I35" s="538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8"/>
      <c r="U35" s="538"/>
      <c r="V35" s="538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  <c r="AH35" s="538"/>
      <c r="AI35" s="538"/>
      <c r="AJ35" s="538"/>
      <c r="AK35" s="538"/>
      <c r="AL35" s="538"/>
      <c r="AM35" s="538"/>
      <c r="AN35" s="539"/>
    </row>
    <row r="36" spans="1:40" ht="29.25" customHeight="1" x14ac:dyDescent="0.3">
      <c r="A36" s="540" t="s">
        <v>497</v>
      </c>
      <c r="B36" s="542" t="s">
        <v>498</v>
      </c>
      <c r="C36" s="542" t="s">
        <v>10</v>
      </c>
      <c r="D36" s="542" t="s">
        <v>499</v>
      </c>
      <c r="E36" s="542" t="s">
        <v>500</v>
      </c>
      <c r="F36" s="542" t="s">
        <v>501</v>
      </c>
      <c r="G36" s="542"/>
      <c r="H36" s="542"/>
      <c r="I36" s="542" t="s">
        <v>11</v>
      </c>
      <c r="J36" s="542" t="s">
        <v>502</v>
      </c>
      <c r="K36" s="542" t="s">
        <v>503</v>
      </c>
      <c r="L36" s="426">
        <v>2021</v>
      </c>
      <c r="M36" s="426">
        <v>2021</v>
      </c>
      <c r="N36" s="426">
        <v>2021</v>
      </c>
      <c r="O36" s="426">
        <v>2021</v>
      </c>
      <c r="P36" s="426">
        <v>2021</v>
      </c>
      <c r="Q36" s="426">
        <v>2021</v>
      </c>
      <c r="R36" s="426">
        <v>2021</v>
      </c>
      <c r="S36" s="426">
        <v>2021</v>
      </c>
      <c r="T36" s="426">
        <v>2021</v>
      </c>
      <c r="U36" s="426">
        <v>2021</v>
      </c>
      <c r="V36" s="426">
        <v>2021</v>
      </c>
      <c r="W36" s="426">
        <v>2022</v>
      </c>
      <c r="X36" s="426">
        <v>2022</v>
      </c>
      <c r="Y36" s="426">
        <v>2022</v>
      </c>
      <c r="Z36" s="426">
        <v>2022</v>
      </c>
      <c r="AA36" s="426">
        <v>2022</v>
      </c>
      <c r="AB36" s="426">
        <v>2022</v>
      </c>
      <c r="AC36" s="426">
        <v>2022</v>
      </c>
      <c r="AD36" s="426">
        <v>2022</v>
      </c>
      <c r="AE36" s="426">
        <v>2022</v>
      </c>
      <c r="AF36" s="426">
        <v>2022</v>
      </c>
      <c r="AG36" s="426">
        <v>2022</v>
      </c>
      <c r="AH36" s="426">
        <v>2022</v>
      </c>
      <c r="AI36" s="426">
        <v>2023</v>
      </c>
      <c r="AJ36" s="426">
        <v>2023</v>
      </c>
      <c r="AK36" s="426">
        <v>2023</v>
      </c>
      <c r="AL36" s="426">
        <v>2023</v>
      </c>
      <c r="AM36" s="426">
        <v>2023</v>
      </c>
      <c r="AN36" s="436">
        <v>2023</v>
      </c>
    </row>
    <row r="37" spans="1:40" ht="15" thickBot="1" x14ac:dyDescent="0.35">
      <c r="A37" s="541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427">
        <v>2</v>
      </c>
      <c r="M37" s="427">
        <v>3</v>
      </c>
      <c r="N37" s="427">
        <v>4</v>
      </c>
      <c r="O37" s="427">
        <v>5</v>
      </c>
      <c r="P37" s="427">
        <v>6</v>
      </c>
      <c r="Q37" s="427">
        <v>7</v>
      </c>
      <c r="R37" s="427">
        <v>8</v>
      </c>
      <c r="S37" s="427">
        <v>9</v>
      </c>
      <c r="T37" s="427">
        <v>10</v>
      </c>
      <c r="U37" s="427">
        <v>11</v>
      </c>
      <c r="V37" s="427">
        <v>12</v>
      </c>
      <c r="W37" s="427">
        <v>1</v>
      </c>
      <c r="X37" s="427">
        <v>2</v>
      </c>
      <c r="Y37" s="427">
        <v>3</v>
      </c>
      <c r="Z37" s="427">
        <v>4</v>
      </c>
      <c r="AA37" s="427">
        <v>5</v>
      </c>
      <c r="AB37" s="427">
        <v>6</v>
      </c>
      <c r="AC37" s="427">
        <v>7</v>
      </c>
      <c r="AD37" s="427">
        <v>8</v>
      </c>
      <c r="AE37" s="427">
        <v>9</v>
      </c>
      <c r="AF37" s="427">
        <v>10</v>
      </c>
      <c r="AG37" s="427">
        <v>11</v>
      </c>
      <c r="AH37" s="427">
        <v>12</v>
      </c>
      <c r="AI37" s="427">
        <v>1</v>
      </c>
      <c r="AJ37" s="427">
        <v>2</v>
      </c>
      <c r="AK37" s="427">
        <v>3</v>
      </c>
      <c r="AL37" s="427">
        <v>4</v>
      </c>
      <c r="AM37" s="427">
        <v>5</v>
      </c>
      <c r="AN37" s="437">
        <v>6</v>
      </c>
    </row>
    <row r="38" spans="1:40" ht="15" thickBot="1" x14ac:dyDescent="0.35">
      <c r="A38" s="544">
        <v>1</v>
      </c>
      <c r="B38" s="547" t="s">
        <v>34</v>
      </c>
      <c r="C38" s="547" t="s">
        <v>505</v>
      </c>
      <c r="D38" s="547">
        <v>0</v>
      </c>
      <c r="E38" s="547">
        <v>0</v>
      </c>
      <c r="F38" s="547" t="s">
        <v>507</v>
      </c>
      <c r="G38" s="547"/>
      <c r="H38" s="428" t="s">
        <v>508</v>
      </c>
      <c r="I38" s="429"/>
      <c r="J38" s="429"/>
      <c r="K38" s="429"/>
      <c r="L38" s="430">
        <v>166978093</v>
      </c>
      <c r="M38" s="430">
        <v>140792008</v>
      </c>
      <c r="N38" s="430">
        <v>158287416</v>
      </c>
      <c r="O38" s="430">
        <v>160632232</v>
      </c>
      <c r="P38" s="430">
        <v>157932577</v>
      </c>
      <c r="Q38" s="430">
        <v>164000000</v>
      </c>
      <c r="R38" s="430">
        <v>172000000</v>
      </c>
      <c r="S38" s="430">
        <v>172000000</v>
      </c>
      <c r="T38" s="430">
        <v>538673828</v>
      </c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38"/>
    </row>
    <row r="39" spans="1:40" ht="15" thickBot="1" x14ac:dyDescent="0.35">
      <c r="A39" s="545"/>
      <c r="B39" s="548"/>
      <c r="C39" s="548"/>
      <c r="D39" s="548"/>
      <c r="E39" s="548"/>
      <c r="F39" s="548"/>
      <c r="G39" s="548"/>
      <c r="H39" s="431" t="s">
        <v>509</v>
      </c>
      <c r="I39" s="432">
        <v>1831296154</v>
      </c>
      <c r="J39" s="433">
        <v>1</v>
      </c>
      <c r="K39" s="432">
        <v>1831296154</v>
      </c>
      <c r="L39" s="432">
        <v>166978093</v>
      </c>
      <c r="M39" s="432">
        <v>140792008</v>
      </c>
      <c r="N39" s="432">
        <v>158287416</v>
      </c>
      <c r="O39" s="432">
        <v>160632232</v>
      </c>
      <c r="P39" s="432">
        <v>157932577</v>
      </c>
      <c r="Q39" s="432">
        <v>164000000</v>
      </c>
      <c r="R39" s="432">
        <v>172000000</v>
      </c>
      <c r="S39" s="432">
        <v>172000000</v>
      </c>
      <c r="T39" s="432">
        <v>538673828</v>
      </c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9"/>
    </row>
    <row r="40" spans="1:40" ht="15" thickBot="1" x14ac:dyDescent="0.35">
      <c r="A40" s="550"/>
      <c r="B40" s="551"/>
      <c r="C40" s="551"/>
      <c r="D40" s="551"/>
      <c r="E40" s="551"/>
      <c r="F40" s="551"/>
      <c r="G40" s="551"/>
      <c r="H40" s="434" t="s">
        <v>510</v>
      </c>
      <c r="I40" s="422">
        <v>2398178784</v>
      </c>
      <c r="J40" s="435">
        <v>1</v>
      </c>
      <c r="K40" s="422">
        <v>2398178784</v>
      </c>
      <c r="L40" s="422">
        <v>166978093</v>
      </c>
      <c r="M40" s="422">
        <v>140792008</v>
      </c>
      <c r="N40" s="422">
        <v>158287416</v>
      </c>
      <c r="O40" s="422">
        <v>154331496</v>
      </c>
      <c r="P40" s="422">
        <v>144138216</v>
      </c>
      <c r="Q40" s="422">
        <v>120789165</v>
      </c>
      <c r="R40" s="422">
        <v>122045083</v>
      </c>
      <c r="S40" s="422">
        <v>145612623</v>
      </c>
      <c r="T40" s="422">
        <v>146142116</v>
      </c>
      <c r="U40" s="422">
        <v>151422600</v>
      </c>
      <c r="V40" s="422">
        <v>170380630</v>
      </c>
      <c r="W40" s="422">
        <v>156695630</v>
      </c>
      <c r="X40" s="422">
        <v>112080150</v>
      </c>
      <c r="Y40" s="422">
        <v>187350030</v>
      </c>
      <c r="Z40" s="422">
        <v>95787027</v>
      </c>
      <c r="AA40" s="422">
        <v>69588530</v>
      </c>
      <c r="AB40" s="435"/>
      <c r="AC40" s="435"/>
      <c r="AD40" s="435"/>
      <c r="AE40" s="435"/>
      <c r="AF40" s="435"/>
      <c r="AG40" s="435"/>
      <c r="AH40" s="422">
        <v>83411146</v>
      </c>
      <c r="AI40" s="422">
        <v>16249392</v>
      </c>
      <c r="AJ40" s="422">
        <v>56097433</v>
      </c>
      <c r="AK40" s="435"/>
      <c r="AL40" s="435"/>
      <c r="AM40" s="435"/>
      <c r="AN40" s="444"/>
    </row>
    <row r="41" spans="1:40" ht="15" thickBot="1" x14ac:dyDescent="0.35">
      <c r="A41" s="537" t="s">
        <v>618</v>
      </c>
      <c r="B41" s="538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538"/>
      <c r="N41" s="538"/>
      <c r="O41" s="538"/>
      <c r="P41" s="538"/>
      <c r="Q41" s="538"/>
      <c r="R41" s="538"/>
      <c r="S41" s="538"/>
      <c r="T41" s="538"/>
      <c r="U41" s="538"/>
      <c r="V41" s="538"/>
      <c r="W41" s="538"/>
      <c r="X41" s="538"/>
      <c r="Y41" s="538"/>
      <c r="Z41" s="538"/>
      <c r="AA41" s="538"/>
      <c r="AB41" s="538"/>
      <c r="AC41" s="538"/>
      <c r="AD41" s="538"/>
      <c r="AE41" s="538"/>
      <c r="AF41" s="538"/>
      <c r="AG41" s="538"/>
      <c r="AH41" s="538"/>
      <c r="AI41" s="538"/>
      <c r="AJ41" s="538"/>
      <c r="AK41" s="538"/>
      <c r="AL41" s="538"/>
      <c r="AM41" s="538"/>
      <c r="AN41" s="539"/>
    </row>
    <row r="42" spans="1:40" ht="29.25" customHeight="1" x14ac:dyDescent="0.3">
      <c r="A42" s="540" t="s">
        <v>497</v>
      </c>
      <c r="B42" s="542" t="s">
        <v>498</v>
      </c>
      <c r="C42" s="542" t="s">
        <v>10</v>
      </c>
      <c r="D42" s="542" t="s">
        <v>499</v>
      </c>
      <c r="E42" s="542" t="s">
        <v>500</v>
      </c>
      <c r="F42" s="542" t="s">
        <v>501</v>
      </c>
      <c r="G42" s="542"/>
      <c r="H42" s="542"/>
      <c r="I42" s="542" t="s">
        <v>11</v>
      </c>
      <c r="J42" s="542" t="s">
        <v>502</v>
      </c>
      <c r="K42" s="542" t="s">
        <v>503</v>
      </c>
      <c r="L42" s="426">
        <v>2021</v>
      </c>
      <c r="M42" s="426">
        <v>2021</v>
      </c>
      <c r="N42" s="426">
        <v>2021</v>
      </c>
      <c r="O42" s="426">
        <v>2021</v>
      </c>
      <c r="P42" s="426">
        <v>2021</v>
      </c>
      <c r="Q42" s="426">
        <v>2021</v>
      </c>
      <c r="R42" s="426">
        <v>2021</v>
      </c>
      <c r="S42" s="426">
        <v>2021</v>
      </c>
      <c r="T42" s="426">
        <v>2021</v>
      </c>
      <c r="U42" s="426">
        <v>2021</v>
      </c>
      <c r="V42" s="426">
        <v>2021</v>
      </c>
      <c r="W42" s="426">
        <v>2022</v>
      </c>
      <c r="X42" s="426">
        <v>2022</v>
      </c>
      <c r="Y42" s="426">
        <v>2022</v>
      </c>
      <c r="Z42" s="426">
        <v>2022</v>
      </c>
      <c r="AA42" s="426">
        <v>2022</v>
      </c>
      <c r="AB42" s="426">
        <v>2022</v>
      </c>
      <c r="AC42" s="426">
        <v>2022</v>
      </c>
      <c r="AD42" s="426">
        <v>2022</v>
      </c>
      <c r="AE42" s="426">
        <v>2022</v>
      </c>
      <c r="AF42" s="426">
        <v>2022</v>
      </c>
      <c r="AG42" s="426">
        <v>2022</v>
      </c>
      <c r="AH42" s="426">
        <v>2022</v>
      </c>
      <c r="AI42" s="426">
        <v>2023</v>
      </c>
      <c r="AJ42" s="426">
        <v>2023</v>
      </c>
      <c r="AK42" s="426">
        <v>2023</v>
      </c>
      <c r="AL42" s="426">
        <v>2023</v>
      </c>
      <c r="AM42" s="426">
        <v>2023</v>
      </c>
      <c r="AN42" s="436">
        <v>2023</v>
      </c>
    </row>
    <row r="43" spans="1:40" ht="15" thickBot="1" x14ac:dyDescent="0.35">
      <c r="A43" s="541"/>
      <c r="B43" s="543"/>
      <c r="C43" s="543"/>
      <c r="D43" s="543"/>
      <c r="E43" s="543"/>
      <c r="F43" s="543"/>
      <c r="G43" s="543"/>
      <c r="H43" s="543"/>
      <c r="I43" s="543"/>
      <c r="J43" s="543"/>
      <c r="K43" s="543"/>
      <c r="L43" s="427">
        <v>2</v>
      </c>
      <c r="M43" s="427">
        <v>3</v>
      </c>
      <c r="N43" s="427">
        <v>4</v>
      </c>
      <c r="O43" s="427">
        <v>5</v>
      </c>
      <c r="P43" s="427">
        <v>6</v>
      </c>
      <c r="Q43" s="427">
        <v>7</v>
      </c>
      <c r="R43" s="427">
        <v>8</v>
      </c>
      <c r="S43" s="427">
        <v>9</v>
      </c>
      <c r="T43" s="427">
        <v>10</v>
      </c>
      <c r="U43" s="427">
        <v>11</v>
      </c>
      <c r="V43" s="427">
        <v>12</v>
      </c>
      <c r="W43" s="427">
        <v>1</v>
      </c>
      <c r="X43" s="427">
        <v>2</v>
      </c>
      <c r="Y43" s="427">
        <v>3</v>
      </c>
      <c r="Z43" s="427">
        <v>4</v>
      </c>
      <c r="AA43" s="427">
        <v>5</v>
      </c>
      <c r="AB43" s="427">
        <v>6</v>
      </c>
      <c r="AC43" s="427">
        <v>7</v>
      </c>
      <c r="AD43" s="427">
        <v>8</v>
      </c>
      <c r="AE43" s="427">
        <v>9</v>
      </c>
      <c r="AF43" s="427">
        <v>10</v>
      </c>
      <c r="AG43" s="427">
        <v>11</v>
      </c>
      <c r="AH43" s="427">
        <v>12</v>
      </c>
      <c r="AI43" s="427">
        <v>1</v>
      </c>
      <c r="AJ43" s="427">
        <v>2</v>
      </c>
      <c r="AK43" s="427">
        <v>3</v>
      </c>
      <c r="AL43" s="427">
        <v>4</v>
      </c>
      <c r="AM43" s="427">
        <v>5</v>
      </c>
      <c r="AN43" s="437">
        <v>6</v>
      </c>
    </row>
    <row r="44" spans="1:40" ht="40.5" customHeight="1" thickBot="1" x14ac:dyDescent="0.35">
      <c r="A44" s="544">
        <v>1</v>
      </c>
      <c r="B44" s="547" t="s">
        <v>529</v>
      </c>
      <c r="C44" s="547" t="s">
        <v>505</v>
      </c>
      <c r="D44" s="547" t="s">
        <v>530</v>
      </c>
      <c r="E44" s="547" t="s">
        <v>619</v>
      </c>
      <c r="F44" s="547" t="s">
        <v>507</v>
      </c>
      <c r="G44" s="547"/>
      <c r="H44" s="428" t="s">
        <v>508</v>
      </c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30">
        <v>263719985</v>
      </c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38"/>
    </row>
    <row r="45" spans="1:40" ht="15" thickBot="1" x14ac:dyDescent="0.35">
      <c r="A45" s="545"/>
      <c r="B45" s="548"/>
      <c r="C45" s="548"/>
      <c r="D45" s="548"/>
      <c r="E45" s="548"/>
      <c r="F45" s="548"/>
      <c r="G45" s="548"/>
      <c r="H45" s="431" t="s">
        <v>509</v>
      </c>
      <c r="I45" s="432">
        <v>263719985</v>
      </c>
      <c r="J45" s="433">
        <v>1</v>
      </c>
      <c r="K45" s="432">
        <v>263719985</v>
      </c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2">
        <v>263719985</v>
      </c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9"/>
    </row>
    <row r="46" spans="1:40" ht="15" thickBot="1" x14ac:dyDescent="0.35">
      <c r="A46" s="550"/>
      <c r="B46" s="551"/>
      <c r="C46" s="551"/>
      <c r="D46" s="551"/>
      <c r="E46" s="551"/>
      <c r="F46" s="551"/>
      <c r="G46" s="551"/>
      <c r="H46" s="434" t="s">
        <v>510</v>
      </c>
      <c r="I46" s="422">
        <v>101506881</v>
      </c>
      <c r="J46" s="435">
        <v>1</v>
      </c>
      <c r="K46" s="422">
        <v>101506881</v>
      </c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22">
        <v>101506881</v>
      </c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44"/>
    </row>
    <row r="47" spans="1:40" ht="15" thickBot="1" x14ac:dyDescent="0.35">
      <c r="A47" s="537" t="s">
        <v>620</v>
      </c>
      <c r="B47" s="538"/>
      <c r="C47" s="538"/>
      <c r="D47" s="538"/>
      <c r="E47" s="538"/>
      <c r="F47" s="538"/>
      <c r="G47" s="538"/>
      <c r="H47" s="538"/>
      <c r="I47" s="538"/>
      <c r="J47" s="538"/>
      <c r="K47" s="538"/>
      <c r="L47" s="538"/>
      <c r="M47" s="538"/>
      <c r="N47" s="538"/>
      <c r="O47" s="538"/>
      <c r="P47" s="538"/>
      <c r="Q47" s="538"/>
      <c r="R47" s="538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8"/>
      <c r="AE47" s="538"/>
      <c r="AF47" s="538"/>
      <c r="AG47" s="538"/>
      <c r="AH47" s="538"/>
      <c r="AI47" s="538"/>
      <c r="AJ47" s="538"/>
      <c r="AK47" s="538"/>
      <c r="AL47" s="538"/>
      <c r="AM47" s="538"/>
      <c r="AN47" s="539"/>
    </row>
    <row r="48" spans="1:40" ht="29.25" customHeight="1" x14ac:dyDescent="0.3">
      <c r="A48" s="540" t="s">
        <v>497</v>
      </c>
      <c r="B48" s="542" t="s">
        <v>498</v>
      </c>
      <c r="C48" s="542" t="s">
        <v>10</v>
      </c>
      <c r="D48" s="542" t="s">
        <v>499</v>
      </c>
      <c r="E48" s="542" t="s">
        <v>500</v>
      </c>
      <c r="F48" s="542" t="s">
        <v>501</v>
      </c>
      <c r="G48" s="542"/>
      <c r="H48" s="542"/>
      <c r="I48" s="542" t="s">
        <v>11</v>
      </c>
      <c r="J48" s="542" t="s">
        <v>502</v>
      </c>
      <c r="K48" s="542" t="s">
        <v>503</v>
      </c>
      <c r="L48" s="426">
        <v>2021</v>
      </c>
      <c r="M48" s="426">
        <v>2021</v>
      </c>
      <c r="N48" s="426">
        <v>2021</v>
      </c>
      <c r="O48" s="426">
        <v>2021</v>
      </c>
      <c r="P48" s="426">
        <v>2021</v>
      </c>
      <c r="Q48" s="426">
        <v>2021</v>
      </c>
      <c r="R48" s="426">
        <v>2021</v>
      </c>
      <c r="S48" s="426">
        <v>2021</v>
      </c>
      <c r="T48" s="426">
        <v>2021</v>
      </c>
      <c r="U48" s="426">
        <v>2021</v>
      </c>
      <c r="V48" s="426">
        <v>2021</v>
      </c>
      <c r="W48" s="426">
        <v>2022</v>
      </c>
      <c r="X48" s="426">
        <v>2022</v>
      </c>
      <c r="Y48" s="426">
        <v>2022</v>
      </c>
      <c r="Z48" s="426">
        <v>2022</v>
      </c>
      <c r="AA48" s="426">
        <v>2022</v>
      </c>
      <c r="AB48" s="426">
        <v>2022</v>
      </c>
      <c r="AC48" s="426">
        <v>2022</v>
      </c>
      <c r="AD48" s="426">
        <v>2022</v>
      </c>
      <c r="AE48" s="426">
        <v>2022</v>
      </c>
      <c r="AF48" s="426">
        <v>2022</v>
      </c>
      <c r="AG48" s="426">
        <v>2022</v>
      </c>
      <c r="AH48" s="426">
        <v>2022</v>
      </c>
      <c r="AI48" s="426">
        <v>2023</v>
      </c>
      <c r="AJ48" s="426">
        <v>2023</v>
      </c>
      <c r="AK48" s="426">
        <v>2023</v>
      </c>
      <c r="AL48" s="426">
        <v>2023</v>
      </c>
      <c r="AM48" s="426">
        <v>2023</v>
      </c>
      <c r="AN48" s="436">
        <v>2023</v>
      </c>
    </row>
    <row r="49" spans="1:40" ht="15" thickBot="1" x14ac:dyDescent="0.35">
      <c r="A49" s="541"/>
      <c r="B49" s="543"/>
      <c r="C49" s="543"/>
      <c r="D49" s="543"/>
      <c r="E49" s="543"/>
      <c r="F49" s="543"/>
      <c r="G49" s="543"/>
      <c r="H49" s="543"/>
      <c r="I49" s="543"/>
      <c r="J49" s="543"/>
      <c r="K49" s="543"/>
      <c r="L49" s="427">
        <v>2</v>
      </c>
      <c r="M49" s="427">
        <v>3</v>
      </c>
      <c r="N49" s="427">
        <v>4</v>
      </c>
      <c r="O49" s="427">
        <v>5</v>
      </c>
      <c r="P49" s="427">
        <v>6</v>
      </c>
      <c r="Q49" s="427">
        <v>7</v>
      </c>
      <c r="R49" s="427">
        <v>8</v>
      </c>
      <c r="S49" s="427">
        <v>9</v>
      </c>
      <c r="T49" s="427">
        <v>10</v>
      </c>
      <c r="U49" s="427">
        <v>11</v>
      </c>
      <c r="V49" s="427">
        <v>12</v>
      </c>
      <c r="W49" s="427">
        <v>1</v>
      </c>
      <c r="X49" s="427">
        <v>2</v>
      </c>
      <c r="Y49" s="427">
        <v>3</v>
      </c>
      <c r="Z49" s="427">
        <v>4</v>
      </c>
      <c r="AA49" s="427">
        <v>5</v>
      </c>
      <c r="AB49" s="427">
        <v>6</v>
      </c>
      <c r="AC49" s="427">
        <v>7</v>
      </c>
      <c r="AD49" s="427">
        <v>8</v>
      </c>
      <c r="AE49" s="427">
        <v>9</v>
      </c>
      <c r="AF49" s="427">
        <v>10</v>
      </c>
      <c r="AG49" s="427">
        <v>11</v>
      </c>
      <c r="AH49" s="427">
        <v>12</v>
      </c>
      <c r="AI49" s="427">
        <v>1</v>
      </c>
      <c r="AJ49" s="427">
        <v>2</v>
      </c>
      <c r="AK49" s="427">
        <v>3</v>
      </c>
      <c r="AL49" s="427">
        <v>4</v>
      </c>
      <c r="AM49" s="427">
        <v>5</v>
      </c>
      <c r="AN49" s="437">
        <v>6</v>
      </c>
    </row>
    <row r="50" spans="1:40" ht="28.5" customHeight="1" thickBot="1" x14ac:dyDescent="0.35">
      <c r="A50" s="544">
        <v>1</v>
      </c>
      <c r="B50" s="547" t="s">
        <v>532</v>
      </c>
      <c r="C50" s="547" t="s">
        <v>505</v>
      </c>
      <c r="D50" s="547" t="s">
        <v>533</v>
      </c>
      <c r="E50" s="547" t="s">
        <v>621</v>
      </c>
      <c r="F50" s="547" t="s">
        <v>507</v>
      </c>
      <c r="G50" s="547"/>
      <c r="H50" s="428" t="s">
        <v>508</v>
      </c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30">
        <v>268494001</v>
      </c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38"/>
    </row>
    <row r="51" spans="1:40" ht="15" thickBot="1" x14ac:dyDescent="0.35">
      <c r="A51" s="545"/>
      <c r="B51" s="548"/>
      <c r="C51" s="548"/>
      <c r="D51" s="548"/>
      <c r="E51" s="548"/>
      <c r="F51" s="548"/>
      <c r="G51" s="548"/>
      <c r="H51" s="431" t="s">
        <v>509</v>
      </c>
      <c r="I51" s="432">
        <v>268494001</v>
      </c>
      <c r="J51" s="433">
        <v>1</v>
      </c>
      <c r="K51" s="432">
        <v>268494001</v>
      </c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2">
        <v>268494001</v>
      </c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9"/>
    </row>
    <row r="52" spans="1:40" ht="15" thickBot="1" x14ac:dyDescent="0.35">
      <c r="A52" s="550"/>
      <c r="B52" s="551"/>
      <c r="C52" s="551"/>
      <c r="D52" s="551"/>
      <c r="E52" s="551"/>
      <c r="F52" s="551"/>
      <c r="G52" s="551"/>
      <c r="H52" s="434" t="s">
        <v>510</v>
      </c>
      <c r="I52" s="422">
        <v>123854986</v>
      </c>
      <c r="J52" s="435">
        <v>1</v>
      </c>
      <c r="K52" s="422">
        <v>123854986</v>
      </c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22">
        <v>96888986</v>
      </c>
      <c r="W52" s="435"/>
      <c r="X52" s="435"/>
      <c r="Y52" s="422">
        <v>13483000</v>
      </c>
      <c r="Z52" s="422">
        <v>13483000</v>
      </c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44"/>
    </row>
    <row r="53" spans="1:40" ht="15" thickBot="1" x14ac:dyDescent="0.35">
      <c r="A53" s="537" t="s">
        <v>622</v>
      </c>
      <c r="B53" s="538"/>
      <c r="C53" s="538"/>
      <c r="D53" s="538"/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8"/>
      <c r="V53" s="538"/>
      <c r="W53" s="538"/>
      <c r="X53" s="538"/>
      <c r="Y53" s="538"/>
      <c r="Z53" s="538"/>
      <c r="AA53" s="538"/>
      <c r="AB53" s="538"/>
      <c r="AC53" s="538"/>
      <c r="AD53" s="538"/>
      <c r="AE53" s="538"/>
      <c r="AF53" s="538"/>
      <c r="AG53" s="538"/>
      <c r="AH53" s="538"/>
      <c r="AI53" s="538"/>
      <c r="AJ53" s="538"/>
      <c r="AK53" s="538"/>
      <c r="AL53" s="538"/>
      <c r="AM53" s="538"/>
      <c r="AN53" s="539"/>
    </row>
    <row r="54" spans="1:40" ht="29.25" customHeight="1" x14ac:dyDescent="0.3">
      <c r="A54" s="540" t="s">
        <v>497</v>
      </c>
      <c r="B54" s="542" t="s">
        <v>498</v>
      </c>
      <c r="C54" s="542" t="s">
        <v>10</v>
      </c>
      <c r="D54" s="542" t="s">
        <v>499</v>
      </c>
      <c r="E54" s="542" t="s">
        <v>500</v>
      </c>
      <c r="F54" s="542" t="s">
        <v>501</v>
      </c>
      <c r="G54" s="542"/>
      <c r="H54" s="542"/>
      <c r="I54" s="542" t="s">
        <v>11</v>
      </c>
      <c r="J54" s="542" t="s">
        <v>502</v>
      </c>
      <c r="K54" s="542" t="s">
        <v>503</v>
      </c>
      <c r="L54" s="426">
        <v>2021</v>
      </c>
      <c r="M54" s="426">
        <v>2021</v>
      </c>
      <c r="N54" s="426">
        <v>2021</v>
      </c>
      <c r="O54" s="426">
        <v>2021</v>
      </c>
      <c r="P54" s="426">
        <v>2021</v>
      </c>
      <c r="Q54" s="426">
        <v>2021</v>
      </c>
      <c r="R54" s="426">
        <v>2021</v>
      </c>
      <c r="S54" s="426">
        <v>2021</v>
      </c>
      <c r="T54" s="426">
        <v>2021</v>
      </c>
      <c r="U54" s="426">
        <v>2021</v>
      </c>
      <c r="V54" s="426">
        <v>2021</v>
      </c>
      <c r="W54" s="426">
        <v>2022</v>
      </c>
      <c r="X54" s="426">
        <v>2022</v>
      </c>
      <c r="Y54" s="426">
        <v>2022</v>
      </c>
      <c r="Z54" s="426">
        <v>2022</v>
      </c>
      <c r="AA54" s="426">
        <v>2022</v>
      </c>
      <c r="AB54" s="426">
        <v>2022</v>
      </c>
      <c r="AC54" s="426">
        <v>2022</v>
      </c>
      <c r="AD54" s="426">
        <v>2022</v>
      </c>
      <c r="AE54" s="426">
        <v>2022</v>
      </c>
      <c r="AF54" s="426">
        <v>2022</v>
      </c>
      <c r="AG54" s="426">
        <v>2022</v>
      </c>
      <c r="AH54" s="426">
        <v>2022</v>
      </c>
      <c r="AI54" s="426">
        <v>2023</v>
      </c>
      <c r="AJ54" s="426">
        <v>2023</v>
      </c>
      <c r="AK54" s="426">
        <v>2023</v>
      </c>
      <c r="AL54" s="426">
        <v>2023</v>
      </c>
      <c r="AM54" s="426">
        <v>2023</v>
      </c>
      <c r="AN54" s="436">
        <v>2023</v>
      </c>
    </row>
    <row r="55" spans="1:40" ht="15" thickBot="1" x14ac:dyDescent="0.35">
      <c r="A55" s="541"/>
      <c r="B55" s="543"/>
      <c r="C55" s="543"/>
      <c r="D55" s="543"/>
      <c r="E55" s="543"/>
      <c r="F55" s="543"/>
      <c r="G55" s="543"/>
      <c r="H55" s="543"/>
      <c r="I55" s="543"/>
      <c r="J55" s="543"/>
      <c r="K55" s="543"/>
      <c r="L55" s="427">
        <v>2</v>
      </c>
      <c r="M55" s="427">
        <v>3</v>
      </c>
      <c r="N55" s="427">
        <v>4</v>
      </c>
      <c r="O55" s="427">
        <v>5</v>
      </c>
      <c r="P55" s="427">
        <v>6</v>
      </c>
      <c r="Q55" s="427">
        <v>7</v>
      </c>
      <c r="R55" s="427">
        <v>8</v>
      </c>
      <c r="S55" s="427">
        <v>9</v>
      </c>
      <c r="T55" s="427">
        <v>10</v>
      </c>
      <c r="U55" s="427">
        <v>11</v>
      </c>
      <c r="V55" s="427">
        <v>12</v>
      </c>
      <c r="W55" s="427">
        <v>1</v>
      </c>
      <c r="X55" s="427">
        <v>2</v>
      </c>
      <c r="Y55" s="427">
        <v>3</v>
      </c>
      <c r="Z55" s="427">
        <v>4</v>
      </c>
      <c r="AA55" s="427">
        <v>5</v>
      </c>
      <c r="AB55" s="427">
        <v>6</v>
      </c>
      <c r="AC55" s="427">
        <v>7</v>
      </c>
      <c r="AD55" s="427">
        <v>8</v>
      </c>
      <c r="AE55" s="427">
        <v>9</v>
      </c>
      <c r="AF55" s="427">
        <v>10</v>
      </c>
      <c r="AG55" s="427">
        <v>11</v>
      </c>
      <c r="AH55" s="427">
        <v>12</v>
      </c>
      <c r="AI55" s="427">
        <v>1</v>
      </c>
      <c r="AJ55" s="427">
        <v>2</v>
      </c>
      <c r="AK55" s="427">
        <v>3</v>
      </c>
      <c r="AL55" s="427">
        <v>4</v>
      </c>
      <c r="AM55" s="427">
        <v>5</v>
      </c>
      <c r="AN55" s="437">
        <v>6</v>
      </c>
    </row>
    <row r="56" spans="1:40" ht="15" thickBot="1" x14ac:dyDescent="0.35">
      <c r="A56" s="544">
        <v>1</v>
      </c>
      <c r="B56" s="547" t="s">
        <v>535</v>
      </c>
      <c r="C56" s="547" t="s">
        <v>505</v>
      </c>
      <c r="D56" s="547" t="s">
        <v>536</v>
      </c>
      <c r="E56" s="547" t="s">
        <v>623</v>
      </c>
      <c r="F56" s="547" t="s">
        <v>507</v>
      </c>
      <c r="G56" s="547"/>
      <c r="H56" s="428" t="s">
        <v>508</v>
      </c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30">
        <v>17030014</v>
      </c>
      <c r="W56" s="430">
        <v>18733015</v>
      </c>
      <c r="X56" s="430">
        <v>20436016</v>
      </c>
      <c r="Y56" s="430">
        <v>105586084</v>
      </c>
      <c r="Z56" s="430">
        <v>8515006</v>
      </c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29"/>
      <c r="AN56" s="438"/>
    </row>
    <row r="57" spans="1:40" ht="15" thickBot="1" x14ac:dyDescent="0.35">
      <c r="A57" s="545"/>
      <c r="B57" s="548"/>
      <c r="C57" s="548"/>
      <c r="D57" s="548"/>
      <c r="E57" s="548"/>
      <c r="F57" s="548"/>
      <c r="G57" s="548"/>
      <c r="H57" s="431" t="s">
        <v>509</v>
      </c>
      <c r="I57" s="432">
        <v>170300135</v>
      </c>
      <c r="J57" s="433">
        <v>1</v>
      </c>
      <c r="K57" s="432">
        <v>170300135</v>
      </c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2">
        <v>17030014</v>
      </c>
      <c r="W57" s="432">
        <v>18733015</v>
      </c>
      <c r="X57" s="432">
        <v>20436016</v>
      </c>
      <c r="Y57" s="432">
        <v>105586084</v>
      </c>
      <c r="Z57" s="432">
        <v>8515006</v>
      </c>
      <c r="AA57" s="433"/>
      <c r="AB57" s="433"/>
      <c r="AC57" s="433"/>
      <c r="AD57" s="433"/>
      <c r="AE57" s="433"/>
      <c r="AF57" s="433"/>
      <c r="AG57" s="433"/>
      <c r="AH57" s="433"/>
      <c r="AI57" s="433"/>
      <c r="AJ57" s="433"/>
      <c r="AK57" s="433"/>
      <c r="AL57" s="433"/>
      <c r="AM57" s="433"/>
      <c r="AN57" s="439"/>
    </row>
    <row r="58" spans="1:40" ht="15" thickBot="1" x14ac:dyDescent="0.35">
      <c r="A58" s="546"/>
      <c r="B58" s="549"/>
      <c r="C58" s="549"/>
      <c r="D58" s="549"/>
      <c r="E58" s="549"/>
      <c r="F58" s="549"/>
      <c r="G58" s="549"/>
      <c r="H58" s="440" t="s">
        <v>510</v>
      </c>
      <c r="I58" s="445">
        <v>35748433</v>
      </c>
      <c r="J58" s="441">
        <v>1</v>
      </c>
      <c r="K58" s="445">
        <v>35748433</v>
      </c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5">
        <v>536226</v>
      </c>
      <c r="AH58" s="445">
        <v>4826038</v>
      </c>
      <c r="AI58" s="441"/>
      <c r="AJ58" s="445">
        <v>30386168</v>
      </c>
      <c r="AK58" s="441"/>
      <c r="AL58" s="441">
        <v>1</v>
      </c>
      <c r="AM58" s="441"/>
      <c r="AN58" s="442"/>
    </row>
    <row r="60" spans="1:40" x14ac:dyDescent="0.3">
      <c r="I60" s="211">
        <f>+I6+I15+I21+I27+I33+I39+I45+I51+I57</f>
        <v>26529124225</v>
      </c>
    </row>
    <row r="61" spans="1:40" x14ac:dyDescent="0.3">
      <c r="I61" s="211">
        <f>+I7+I16+I22+I28+I34+I40+I46+I52+I58</f>
        <v>21800311062</v>
      </c>
    </row>
    <row r="62" spans="1:40" x14ac:dyDescent="0.3">
      <c r="I62" s="209">
        <f>+I61/I60</f>
        <v>0.82175012175698758</v>
      </c>
    </row>
  </sheetData>
  <mergeCells count="173">
    <mergeCell ref="A56:A58"/>
    <mergeCell ref="B56:B58"/>
    <mergeCell ref="C56:C58"/>
    <mergeCell ref="D56:D58"/>
    <mergeCell ref="E56:E58"/>
    <mergeCell ref="F56:F58"/>
    <mergeCell ref="G56:G58"/>
    <mergeCell ref="A50:A52"/>
    <mergeCell ref="B50:B52"/>
    <mergeCell ref="C50:C52"/>
    <mergeCell ref="D50:D52"/>
    <mergeCell ref="E50:E52"/>
    <mergeCell ref="F50:F52"/>
    <mergeCell ref="G50:G52"/>
    <mergeCell ref="A53:AN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A44:A46"/>
    <mergeCell ref="B44:B46"/>
    <mergeCell ref="C44:C46"/>
    <mergeCell ref="D44:D46"/>
    <mergeCell ref="E44:E46"/>
    <mergeCell ref="F44:F46"/>
    <mergeCell ref="G44:G46"/>
    <mergeCell ref="A47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A38:A40"/>
    <mergeCell ref="B38:B40"/>
    <mergeCell ref="C38:C40"/>
    <mergeCell ref="D38:D40"/>
    <mergeCell ref="E38:E40"/>
    <mergeCell ref="F38:F40"/>
    <mergeCell ref="G38:G40"/>
    <mergeCell ref="A41:AN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A32:A34"/>
    <mergeCell ref="B32:B34"/>
    <mergeCell ref="C32:C34"/>
    <mergeCell ref="D32:D34"/>
    <mergeCell ref="E32:E34"/>
    <mergeCell ref="F32:F34"/>
    <mergeCell ref="G32:G34"/>
    <mergeCell ref="A35:AN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A26:A28"/>
    <mergeCell ref="B26:B28"/>
    <mergeCell ref="C26:C28"/>
    <mergeCell ref="D26:D28"/>
    <mergeCell ref="E26:E28"/>
    <mergeCell ref="F26:F28"/>
    <mergeCell ref="G26:G28"/>
    <mergeCell ref="A29:AN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A20:A22"/>
    <mergeCell ref="B20:B22"/>
    <mergeCell ref="C20:C22"/>
    <mergeCell ref="D20:D22"/>
    <mergeCell ref="E20:E22"/>
    <mergeCell ref="F20:F22"/>
    <mergeCell ref="G20:G22"/>
    <mergeCell ref="A23:AN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17:AN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J12:J13"/>
    <mergeCell ref="K12:K13"/>
    <mergeCell ref="A14:A16"/>
    <mergeCell ref="B14:B16"/>
    <mergeCell ref="C14:C16"/>
    <mergeCell ref="D14:D16"/>
    <mergeCell ref="E14:E16"/>
    <mergeCell ref="F14:F16"/>
    <mergeCell ref="G14:G1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5:A7"/>
    <mergeCell ref="B5:B7"/>
    <mergeCell ref="C5:C7"/>
    <mergeCell ref="D5:D7"/>
    <mergeCell ref="E5:E7"/>
    <mergeCell ref="F5:F7"/>
    <mergeCell ref="G5:G7"/>
    <mergeCell ref="A10:AN10"/>
    <mergeCell ref="A11:AN11"/>
    <mergeCell ref="A1:AN1"/>
    <mergeCell ref="A2:A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22C8-1702-4530-9A36-7F2CA49FB76E}">
  <dimension ref="A1:E14"/>
  <sheetViews>
    <sheetView workbookViewId="0">
      <selection activeCell="C3" sqref="C3"/>
    </sheetView>
  </sheetViews>
  <sheetFormatPr baseColWidth="10" defaultRowHeight="14.4" x14ac:dyDescent="0.3"/>
  <cols>
    <col min="2" max="2" width="29.33203125" customWidth="1"/>
    <col min="3" max="3" width="19.33203125" bestFit="1" customWidth="1"/>
    <col min="4" max="4" width="25.5546875" customWidth="1"/>
    <col min="5" max="5" width="15.88671875" bestFit="1" customWidth="1"/>
  </cols>
  <sheetData>
    <row r="1" spans="1:5" x14ac:dyDescent="0.3">
      <c r="A1" t="s">
        <v>543</v>
      </c>
      <c r="B1" s="206">
        <v>94381000</v>
      </c>
      <c r="C1" s="99">
        <v>169442322</v>
      </c>
      <c r="D1" s="99">
        <f>+C1*5</f>
        <v>847211610</v>
      </c>
    </row>
    <row r="2" spans="1:5" x14ac:dyDescent="0.3">
      <c r="A2" t="s">
        <v>544</v>
      </c>
      <c r="B2" s="206">
        <v>20166359302</v>
      </c>
      <c r="C2" s="99">
        <v>21903262418</v>
      </c>
    </row>
    <row r="3" spans="1:5" x14ac:dyDescent="0.3">
      <c r="A3" t="s">
        <v>545</v>
      </c>
      <c r="B3" s="206">
        <v>1714695227</v>
      </c>
      <c r="C3" s="99">
        <v>2202717764</v>
      </c>
    </row>
    <row r="4" spans="1:5" x14ac:dyDescent="0.3">
      <c r="B4" s="87">
        <v>21975435529</v>
      </c>
      <c r="C4" s="87">
        <f>SUM(C1:C3)</f>
        <v>24275422504</v>
      </c>
    </row>
    <row r="6" spans="1:5" x14ac:dyDescent="0.3">
      <c r="E6" s="99">
        <v>121352955</v>
      </c>
    </row>
    <row r="7" spans="1:5" x14ac:dyDescent="0.3">
      <c r="E7" s="99">
        <f>+E6*0.5</f>
        <v>60676477.5</v>
      </c>
    </row>
    <row r="11" spans="1:5" x14ac:dyDescent="0.3">
      <c r="C11">
        <f>+C12/C1</f>
        <v>0.23873011490010151</v>
      </c>
    </row>
    <row r="12" spans="1:5" x14ac:dyDescent="0.3">
      <c r="C12">
        <f>40450985</f>
        <v>40450985</v>
      </c>
    </row>
    <row r="14" spans="1:5" x14ac:dyDescent="0.3">
      <c r="C14">
        <f>+C12/3</f>
        <v>13483661.666666666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50EA-2BBC-4F16-90CD-ABECDBE5CCF4}">
  <dimension ref="A1:AC63"/>
  <sheetViews>
    <sheetView topLeftCell="N1" workbookViewId="0">
      <selection activeCell="AA38" sqref="AA38"/>
    </sheetView>
  </sheetViews>
  <sheetFormatPr baseColWidth="10" defaultColWidth="11.44140625" defaultRowHeight="14.4" x14ac:dyDescent="0.3"/>
  <cols>
    <col min="3" max="10" width="11.5546875" customWidth="1"/>
    <col min="11" max="11" width="13.6640625" customWidth="1"/>
    <col min="12" max="21" width="11.5546875" customWidth="1"/>
    <col min="26" max="26" width="18.6640625" bestFit="1" customWidth="1"/>
    <col min="27" max="27" width="19" style="99" bestFit="1" customWidth="1"/>
    <col min="28" max="28" width="17.6640625" bestFit="1" customWidth="1"/>
    <col min="29" max="29" width="18" bestFit="1" customWidth="1"/>
  </cols>
  <sheetData>
    <row r="1" spans="1:27" ht="15" thickBot="1" x14ac:dyDescent="0.35">
      <c r="A1" s="552" t="s">
        <v>495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4"/>
    </row>
    <row r="2" spans="1:27" ht="15" thickBot="1" x14ac:dyDescent="0.35">
      <c r="A2" s="555" t="s">
        <v>496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7"/>
    </row>
    <row r="3" spans="1:27" ht="26.4" customHeight="1" x14ac:dyDescent="0.3">
      <c r="A3" s="558" t="s">
        <v>497</v>
      </c>
      <c r="B3" s="560" t="s">
        <v>498</v>
      </c>
      <c r="C3" s="560" t="s">
        <v>10</v>
      </c>
      <c r="D3" s="560" t="s">
        <v>499</v>
      </c>
      <c r="E3" s="560" t="s">
        <v>500</v>
      </c>
      <c r="F3" s="560" t="s">
        <v>501</v>
      </c>
      <c r="G3" s="560"/>
      <c r="H3" s="560"/>
      <c r="I3" s="560" t="s">
        <v>11</v>
      </c>
      <c r="J3" s="560" t="s">
        <v>502</v>
      </c>
      <c r="K3" s="560" t="s">
        <v>503</v>
      </c>
      <c r="L3" s="182">
        <v>2021</v>
      </c>
      <c r="M3" s="182">
        <v>2021</v>
      </c>
      <c r="N3" s="182">
        <v>2021</v>
      </c>
      <c r="O3" s="182">
        <v>2021</v>
      </c>
      <c r="P3" s="182">
        <v>2021</v>
      </c>
      <c r="Q3" s="182">
        <v>2021</v>
      </c>
      <c r="R3" s="182">
        <v>2021</v>
      </c>
      <c r="S3" s="182">
        <v>2021</v>
      </c>
      <c r="T3" s="182">
        <v>2021</v>
      </c>
      <c r="U3" s="182">
        <v>2021</v>
      </c>
      <c r="V3" s="182">
        <v>2021</v>
      </c>
      <c r="W3" s="182">
        <v>2022</v>
      </c>
      <c r="X3" s="182">
        <v>2022</v>
      </c>
      <c r="Y3" s="182">
        <v>2022</v>
      </c>
      <c r="Z3" s="192">
        <v>2022</v>
      </c>
    </row>
    <row r="4" spans="1:27" ht="15" thickBot="1" x14ac:dyDescent="0.35">
      <c r="A4" s="559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183">
        <v>2</v>
      </c>
      <c r="M4" s="183">
        <v>3</v>
      </c>
      <c r="N4" s="183">
        <v>4</v>
      </c>
      <c r="O4" s="183">
        <v>5</v>
      </c>
      <c r="P4" s="183">
        <v>6</v>
      </c>
      <c r="Q4" s="183">
        <v>7</v>
      </c>
      <c r="R4" s="183">
        <v>8</v>
      </c>
      <c r="S4" s="183">
        <v>9</v>
      </c>
      <c r="T4" s="183">
        <v>10</v>
      </c>
      <c r="U4" s="183">
        <v>11</v>
      </c>
      <c r="V4" s="183">
        <v>12</v>
      </c>
      <c r="W4" s="183">
        <v>1</v>
      </c>
      <c r="X4" s="183">
        <v>2</v>
      </c>
      <c r="Y4" s="183">
        <v>3</v>
      </c>
      <c r="Z4" s="193">
        <v>4</v>
      </c>
    </row>
    <row r="5" spans="1:27" ht="46.95" customHeight="1" thickBot="1" x14ac:dyDescent="0.35">
      <c r="A5" s="562">
        <v>1</v>
      </c>
      <c r="B5" s="565" t="s">
        <v>504</v>
      </c>
      <c r="C5" s="565" t="s">
        <v>505</v>
      </c>
      <c r="D5" s="565" t="s">
        <v>506</v>
      </c>
      <c r="E5" s="565">
        <v>0</v>
      </c>
      <c r="F5" s="565" t="s">
        <v>507</v>
      </c>
      <c r="G5" s="565"/>
      <c r="H5" s="184" t="s">
        <v>508</v>
      </c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6">
        <v>77439880</v>
      </c>
      <c r="Y5" s="185"/>
      <c r="Z5" s="194"/>
    </row>
    <row r="6" spans="1:27" ht="15" thickBot="1" x14ac:dyDescent="0.35">
      <c r="A6" s="563"/>
      <c r="B6" s="566"/>
      <c r="C6" s="566"/>
      <c r="D6" s="566"/>
      <c r="E6" s="566"/>
      <c r="F6" s="566"/>
      <c r="G6" s="566"/>
      <c r="H6" s="187" t="s">
        <v>509</v>
      </c>
      <c r="I6" s="188">
        <v>77439880</v>
      </c>
      <c r="J6" s="189">
        <v>1</v>
      </c>
      <c r="K6" s="188">
        <v>77439880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8">
        <v>77439880</v>
      </c>
      <c r="Y6" s="189"/>
      <c r="Z6" s="195"/>
      <c r="AA6" s="99">
        <f>SUM(L6:Z6)</f>
        <v>77439880</v>
      </c>
    </row>
    <row r="7" spans="1:27" ht="15" thickBot="1" x14ac:dyDescent="0.35">
      <c r="A7" s="564"/>
      <c r="B7" s="567"/>
      <c r="C7" s="567"/>
      <c r="D7" s="567"/>
      <c r="E7" s="567"/>
      <c r="F7" s="567"/>
      <c r="G7" s="567"/>
      <c r="H7" s="196" t="s">
        <v>510</v>
      </c>
      <c r="I7" s="197"/>
      <c r="J7" s="197">
        <v>0</v>
      </c>
      <c r="K7" s="197">
        <v>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8"/>
      <c r="AA7" s="99">
        <f>SUM(L7:Z7)</f>
        <v>0</v>
      </c>
    </row>
    <row r="8" spans="1:27" ht="15" thickBot="1" x14ac:dyDescent="0.35">
      <c r="A8" s="552" t="s">
        <v>511</v>
      </c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4"/>
    </row>
    <row r="9" spans="1:27" ht="15" thickBot="1" x14ac:dyDescent="0.35">
      <c r="A9" s="555" t="s">
        <v>512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7"/>
    </row>
    <row r="10" spans="1:27" ht="26.4" customHeight="1" x14ac:dyDescent="0.3">
      <c r="A10" s="558" t="s">
        <v>497</v>
      </c>
      <c r="B10" s="560" t="s">
        <v>498</v>
      </c>
      <c r="C10" s="560" t="s">
        <v>10</v>
      </c>
      <c r="D10" s="560" t="s">
        <v>499</v>
      </c>
      <c r="E10" s="560" t="s">
        <v>500</v>
      </c>
      <c r="F10" s="560" t="s">
        <v>501</v>
      </c>
      <c r="G10" s="560"/>
      <c r="H10" s="560"/>
      <c r="I10" s="560" t="s">
        <v>11</v>
      </c>
      <c r="J10" s="560" t="s">
        <v>502</v>
      </c>
      <c r="K10" s="560" t="s">
        <v>503</v>
      </c>
      <c r="L10" s="182">
        <v>2021</v>
      </c>
      <c r="M10" s="182">
        <v>2021</v>
      </c>
      <c r="N10" s="182">
        <v>2021</v>
      </c>
      <c r="O10" s="182">
        <v>2021</v>
      </c>
      <c r="P10" s="182">
        <v>2021</v>
      </c>
      <c r="Q10" s="182">
        <v>2021</v>
      </c>
      <c r="R10" s="182">
        <v>2021</v>
      </c>
      <c r="S10" s="182">
        <v>2021</v>
      </c>
      <c r="T10" s="182">
        <v>2021</v>
      </c>
      <c r="U10" s="182">
        <v>2021</v>
      </c>
      <c r="V10" s="182">
        <v>2021</v>
      </c>
      <c r="W10" s="182">
        <v>2022</v>
      </c>
      <c r="X10" s="182">
        <v>2022</v>
      </c>
      <c r="Y10" s="182">
        <v>2022</v>
      </c>
      <c r="Z10" s="192">
        <v>2022</v>
      </c>
    </row>
    <row r="11" spans="1:27" ht="15" thickBot="1" x14ac:dyDescent="0.35">
      <c r="A11" s="559"/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183">
        <v>2</v>
      </c>
      <c r="M11" s="183">
        <v>3</v>
      </c>
      <c r="N11" s="183">
        <v>4</v>
      </c>
      <c r="O11" s="183">
        <v>5</v>
      </c>
      <c r="P11" s="183">
        <v>6</v>
      </c>
      <c r="Q11" s="183">
        <v>7</v>
      </c>
      <c r="R11" s="183">
        <v>8</v>
      </c>
      <c r="S11" s="183">
        <v>9</v>
      </c>
      <c r="T11" s="183">
        <v>10</v>
      </c>
      <c r="U11" s="183">
        <v>11</v>
      </c>
      <c r="V11" s="183">
        <v>12</v>
      </c>
      <c r="W11" s="183">
        <v>1</v>
      </c>
      <c r="X11" s="183">
        <v>2</v>
      </c>
      <c r="Y11" s="183">
        <v>3</v>
      </c>
      <c r="Z11" s="193">
        <v>4</v>
      </c>
    </row>
    <row r="12" spans="1:27" ht="15" thickBot="1" x14ac:dyDescent="0.35">
      <c r="A12" s="562">
        <v>1</v>
      </c>
      <c r="B12" s="565" t="s">
        <v>513</v>
      </c>
      <c r="C12" s="565" t="s">
        <v>505</v>
      </c>
      <c r="D12" s="565" t="s">
        <v>514</v>
      </c>
      <c r="E12" s="565">
        <v>0</v>
      </c>
      <c r="F12" s="565" t="s">
        <v>507</v>
      </c>
      <c r="G12" s="565"/>
      <c r="H12" s="184" t="s">
        <v>508</v>
      </c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6">
        <v>13483000</v>
      </c>
      <c r="W12" s="185"/>
      <c r="X12" s="185"/>
      <c r="Y12" s="185"/>
      <c r="Z12" s="200">
        <v>110613317</v>
      </c>
    </row>
    <row r="13" spans="1:27" ht="15" thickBot="1" x14ac:dyDescent="0.35">
      <c r="A13" s="563"/>
      <c r="B13" s="566"/>
      <c r="C13" s="566"/>
      <c r="D13" s="566"/>
      <c r="E13" s="566"/>
      <c r="F13" s="566"/>
      <c r="G13" s="566"/>
      <c r="H13" s="187" t="s">
        <v>509</v>
      </c>
      <c r="I13" s="188">
        <v>124096317</v>
      </c>
      <c r="J13" s="189">
        <v>1</v>
      </c>
      <c r="K13" s="188">
        <v>124096317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8">
        <v>13483000</v>
      </c>
      <c r="W13" s="189"/>
      <c r="X13" s="189"/>
      <c r="Y13" s="189"/>
      <c r="Z13" s="201">
        <v>110613317</v>
      </c>
      <c r="AA13" s="99">
        <f>SUM(L13:Z13)</f>
        <v>124096317</v>
      </c>
    </row>
    <row r="14" spans="1:27" ht="15" thickBot="1" x14ac:dyDescent="0.35">
      <c r="A14" s="568"/>
      <c r="B14" s="569"/>
      <c r="C14" s="569"/>
      <c r="D14" s="569"/>
      <c r="E14" s="569"/>
      <c r="F14" s="569"/>
      <c r="G14" s="569"/>
      <c r="H14" s="190" t="s">
        <v>510</v>
      </c>
      <c r="I14" s="191"/>
      <c r="J14" s="191">
        <v>0</v>
      </c>
      <c r="K14" s="191">
        <v>0</v>
      </c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212">
        <v>26966000</v>
      </c>
      <c r="W14" s="212">
        <v>13483000</v>
      </c>
      <c r="X14" s="191"/>
      <c r="Y14" s="191"/>
      <c r="Z14" s="202"/>
      <c r="AA14" s="99">
        <f>SUM(L14:Z14)</f>
        <v>40449000</v>
      </c>
    </row>
    <row r="15" spans="1:27" ht="15" thickBot="1" x14ac:dyDescent="0.35">
      <c r="A15" s="555" t="s">
        <v>515</v>
      </c>
      <c r="B15" s="556"/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7"/>
    </row>
    <row r="16" spans="1:27" ht="26.4" customHeight="1" x14ac:dyDescent="0.3">
      <c r="A16" s="558" t="s">
        <v>497</v>
      </c>
      <c r="B16" s="560" t="s">
        <v>498</v>
      </c>
      <c r="C16" s="560" t="s">
        <v>10</v>
      </c>
      <c r="D16" s="560" t="s">
        <v>499</v>
      </c>
      <c r="E16" s="560" t="s">
        <v>500</v>
      </c>
      <c r="F16" s="560" t="s">
        <v>501</v>
      </c>
      <c r="G16" s="560"/>
      <c r="H16" s="560"/>
      <c r="I16" s="560" t="s">
        <v>11</v>
      </c>
      <c r="J16" s="560" t="s">
        <v>502</v>
      </c>
      <c r="K16" s="560" t="s">
        <v>503</v>
      </c>
      <c r="L16" s="182">
        <v>2021</v>
      </c>
      <c r="M16" s="182">
        <v>2021</v>
      </c>
      <c r="N16" s="182">
        <v>2021</v>
      </c>
      <c r="O16" s="182">
        <v>2021</v>
      </c>
      <c r="P16" s="182">
        <v>2021</v>
      </c>
      <c r="Q16" s="182">
        <v>2021</v>
      </c>
      <c r="R16" s="182">
        <v>2021</v>
      </c>
      <c r="S16" s="182">
        <v>2021</v>
      </c>
      <c r="T16" s="182">
        <v>2021</v>
      </c>
      <c r="U16" s="182">
        <v>2021</v>
      </c>
      <c r="V16" s="182">
        <v>2021</v>
      </c>
      <c r="W16" s="182">
        <v>2022</v>
      </c>
      <c r="X16" s="182">
        <v>2022</v>
      </c>
      <c r="Y16" s="182">
        <v>2022</v>
      </c>
      <c r="Z16" s="192">
        <v>2022</v>
      </c>
    </row>
    <row r="17" spans="1:27" ht="15" thickBot="1" x14ac:dyDescent="0.35">
      <c r="A17" s="559"/>
      <c r="B17" s="561"/>
      <c r="C17" s="561"/>
      <c r="D17" s="561"/>
      <c r="E17" s="561"/>
      <c r="F17" s="561"/>
      <c r="G17" s="561"/>
      <c r="H17" s="561"/>
      <c r="I17" s="561"/>
      <c r="J17" s="561"/>
      <c r="K17" s="561"/>
      <c r="L17" s="183">
        <v>2</v>
      </c>
      <c r="M17" s="183">
        <v>3</v>
      </c>
      <c r="N17" s="183">
        <v>4</v>
      </c>
      <c r="O17" s="183">
        <v>5</v>
      </c>
      <c r="P17" s="183">
        <v>6</v>
      </c>
      <c r="Q17" s="183">
        <v>7</v>
      </c>
      <c r="R17" s="183">
        <v>8</v>
      </c>
      <c r="S17" s="183">
        <v>9</v>
      </c>
      <c r="T17" s="183">
        <v>10</v>
      </c>
      <c r="U17" s="183">
        <v>11</v>
      </c>
      <c r="V17" s="183">
        <v>12</v>
      </c>
      <c r="W17" s="183">
        <v>1</v>
      </c>
      <c r="X17" s="183">
        <v>2</v>
      </c>
      <c r="Y17" s="183">
        <v>3</v>
      </c>
      <c r="Z17" s="193">
        <v>4</v>
      </c>
    </row>
    <row r="18" spans="1:27" ht="15" thickBot="1" x14ac:dyDescent="0.35">
      <c r="A18" s="562">
        <v>1</v>
      </c>
      <c r="B18" s="565" t="s">
        <v>516</v>
      </c>
      <c r="C18" s="565" t="s">
        <v>505</v>
      </c>
      <c r="D18" s="565" t="s">
        <v>517</v>
      </c>
      <c r="E18" s="565" t="s">
        <v>518</v>
      </c>
      <c r="F18" s="565" t="s">
        <v>507</v>
      </c>
      <c r="G18" s="565"/>
      <c r="H18" s="184" t="s">
        <v>508</v>
      </c>
      <c r="I18" s="185"/>
      <c r="J18" s="185"/>
      <c r="K18" s="185"/>
      <c r="L18" s="185"/>
      <c r="M18" s="186">
        <v>83221547</v>
      </c>
      <c r="N18" s="186">
        <v>28571820</v>
      </c>
      <c r="O18" s="186">
        <v>4122313</v>
      </c>
      <c r="P18" s="186">
        <v>73348448</v>
      </c>
      <c r="Q18" s="186">
        <v>60572016</v>
      </c>
      <c r="R18" s="186">
        <v>146478943</v>
      </c>
      <c r="S18" s="186">
        <v>285484227</v>
      </c>
      <c r="T18" s="186">
        <v>297140289</v>
      </c>
      <c r="U18" s="186">
        <v>441720197</v>
      </c>
      <c r="V18" s="186">
        <v>126180977</v>
      </c>
      <c r="W18" s="186">
        <v>138799074</v>
      </c>
      <c r="X18" s="186">
        <v>151417172</v>
      </c>
      <c r="Y18" s="186">
        <v>845412544</v>
      </c>
      <c r="Z18" s="194"/>
    </row>
    <row r="19" spans="1:27" ht="15" thickBot="1" x14ac:dyDescent="0.35">
      <c r="A19" s="563"/>
      <c r="B19" s="566"/>
      <c r="C19" s="566"/>
      <c r="D19" s="566"/>
      <c r="E19" s="566"/>
      <c r="F19" s="566"/>
      <c r="G19" s="566"/>
      <c r="H19" s="187" t="s">
        <v>509</v>
      </c>
      <c r="I19" s="188">
        <v>2682469567</v>
      </c>
      <c r="J19" s="189">
        <v>1</v>
      </c>
      <c r="K19" s="188">
        <v>2682469567</v>
      </c>
      <c r="L19" s="189"/>
      <c r="M19" s="188">
        <v>83221547</v>
      </c>
      <c r="N19" s="188">
        <v>28571820</v>
      </c>
      <c r="O19" s="188">
        <v>4122313</v>
      </c>
      <c r="P19" s="188">
        <v>73348448</v>
      </c>
      <c r="Q19" s="188">
        <v>60572016</v>
      </c>
      <c r="R19" s="188">
        <v>146478943</v>
      </c>
      <c r="S19" s="188">
        <v>285484227</v>
      </c>
      <c r="T19" s="188">
        <v>297140289</v>
      </c>
      <c r="U19" s="188">
        <v>441720197</v>
      </c>
      <c r="V19" s="188">
        <v>126180977</v>
      </c>
      <c r="W19" s="188">
        <v>138799074</v>
      </c>
      <c r="X19" s="188">
        <v>151417172</v>
      </c>
      <c r="Y19" s="188">
        <v>845412544</v>
      </c>
      <c r="Z19" s="195"/>
      <c r="AA19" s="99">
        <f>SUM(L19:Z19)</f>
        <v>2682469567</v>
      </c>
    </row>
    <row r="20" spans="1:27" ht="15" thickBot="1" x14ac:dyDescent="0.35">
      <c r="A20" s="568"/>
      <c r="B20" s="569"/>
      <c r="C20" s="569"/>
      <c r="D20" s="569"/>
      <c r="E20" s="569"/>
      <c r="F20" s="569"/>
      <c r="G20" s="569"/>
      <c r="H20" s="190" t="s">
        <v>510</v>
      </c>
      <c r="I20" s="199">
        <v>640123136</v>
      </c>
      <c r="J20" s="191">
        <v>1</v>
      </c>
      <c r="K20" s="199">
        <v>640123136</v>
      </c>
      <c r="L20" s="191"/>
      <c r="M20" s="199">
        <v>83221547</v>
      </c>
      <c r="N20" s="199">
        <v>28571820</v>
      </c>
      <c r="O20" s="199">
        <v>4122313</v>
      </c>
      <c r="P20" s="199">
        <v>73348448</v>
      </c>
      <c r="Q20" s="199">
        <v>60572016</v>
      </c>
      <c r="R20" s="199">
        <v>146478943</v>
      </c>
      <c r="S20" s="199">
        <v>168292043</v>
      </c>
      <c r="T20" s="199">
        <v>26755951</v>
      </c>
      <c r="U20" s="199">
        <v>48760055</v>
      </c>
      <c r="V20" s="212">
        <v>46324565.273362316</v>
      </c>
      <c r="W20" s="212">
        <v>74080429.775677025</v>
      </c>
      <c r="X20" s="191"/>
      <c r="Y20" s="191"/>
      <c r="Z20" s="202"/>
      <c r="AA20" s="99">
        <f>SUM(L20:Z20)</f>
        <v>760528131.04903936</v>
      </c>
    </row>
    <row r="21" spans="1:27" ht="15" thickBot="1" x14ac:dyDescent="0.35">
      <c r="A21" s="555" t="s">
        <v>519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7"/>
    </row>
    <row r="22" spans="1:27" ht="26.4" customHeight="1" x14ac:dyDescent="0.3">
      <c r="A22" s="558" t="s">
        <v>497</v>
      </c>
      <c r="B22" s="560" t="s">
        <v>498</v>
      </c>
      <c r="C22" s="560" t="s">
        <v>10</v>
      </c>
      <c r="D22" s="560" t="s">
        <v>499</v>
      </c>
      <c r="E22" s="560" t="s">
        <v>500</v>
      </c>
      <c r="F22" s="560" t="s">
        <v>501</v>
      </c>
      <c r="G22" s="560"/>
      <c r="H22" s="560"/>
      <c r="I22" s="560" t="s">
        <v>11</v>
      </c>
      <c r="J22" s="560" t="s">
        <v>502</v>
      </c>
      <c r="K22" s="560" t="s">
        <v>503</v>
      </c>
      <c r="L22" s="182">
        <v>2021</v>
      </c>
      <c r="M22" s="182">
        <v>2021</v>
      </c>
      <c r="N22" s="182">
        <v>2021</v>
      </c>
      <c r="O22" s="182">
        <v>2021</v>
      </c>
      <c r="P22" s="182">
        <v>2021</v>
      </c>
      <c r="Q22" s="182">
        <v>2021</v>
      </c>
      <c r="R22" s="182">
        <v>2021</v>
      </c>
      <c r="S22" s="182">
        <v>2021</v>
      </c>
      <c r="T22" s="182">
        <v>2021</v>
      </c>
      <c r="U22" s="182">
        <v>2021</v>
      </c>
      <c r="V22" s="182">
        <v>2021</v>
      </c>
      <c r="W22" s="182">
        <v>2022</v>
      </c>
      <c r="X22" s="182">
        <v>2022</v>
      </c>
      <c r="Y22" s="182">
        <v>2022</v>
      </c>
      <c r="Z22" s="192">
        <v>2022</v>
      </c>
    </row>
    <row r="23" spans="1:27" ht="15" thickBot="1" x14ac:dyDescent="0.35">
      <c r="A23" s="559"/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183">
        <v>2</v>
      </c>
      <c r="M23" s="183">
        <v>3</v>
      </c>
      <c r="N23" s="183">
        <v>4</v>
      </c>
      <c r="O23" s="183">
        <v>5</v>
      </c>
      <c r="P23" s="183">
        <v>6</v>
      </c>
      <c r="Q23" s="183">
        <v>7</v>
      </c>
      <c r="R23" s="183">
        <v>8</v>
      </c>
      <c r="S23" s="183">
        <v>9</v>
      </c>
      <c r="T23" s="183">
        <v>10</v>
      </c>
      <c r="U23" s="183">
        <v>11</v>
      </c>
      <c r="V23" s="183">
        <v>12</v>
      </c>
      <c r="W23" s="183">
        <v>1</v>
      </c>
      <c r="X23" s="183">
        <v>2</v>
      </c>
      <c r="Y23" s="183">
        <v>3</v>
      </c>
      <c r="Z23" s="193">
        <v>4</v>
      </c>
    </row>
    <row r="24" spans="1:27" ht="15" thickBot="1" x14ac:dyDescent="0.35">
      <c r="A24" s="562">
        <v>1</v>
      </c>
      <c r="B24" s="565" t="s">
        <v>520</v>
      </c>
      <c r="C24" s="565" t="s">
        <v>505</v>
      </c>
      <c r="D24" s="565" t="s">
        <v>521</v>
      </c>
      <c r="E24" s="565" t="s">
        <v>522</v>
      </c>
      <c r="F24" s="565" t="s">
        <v>507</v>
      </c>
      <c r="G24" s="565"/>
      <c r="H24" s="184" t="s">
        <v>508</v>
      </c>
      <c r="I24" s="185"/>
      <c r="J24" s="185"/>
      <c r="K24" s="185"/>
      <c r="L24" s="185"/>
      <c r="M24" s="185"/>
      <c r="N24" s="185"/>
      <c r="O24" s="186">
        <v>152893</v>
      </c>
      <c r="P24" s="185"/>
      <c r="Q24" s="186">
        <v>305787</v>
      </c>
      <c r="R24" s="185"/>
      <c r="S24" s="186">
        <v>428101</v>
      </c>
      <c r="T24" s="185"/>
      <c r="U24" s="185"/>
      <c r="V24" s="186">
        <v>79505</v>
      </c>
      <c r="W24" s="186">
        <v>87455</v>
      </c>
      <c r="X24" s="186">
        <v>628086</v>
      </c>
      <c r="Y24" s="185"/>
      <c r="Z24" s="194"/>
    </row>
    <row r="25" spans="1:27" ht="15" thickBot="1" x14ac:dyDescent="0.35">
      <c r="A25" s="563"/>
      <c r="B25" s="566"/>
      <c r="C25" s="566"/>
      <c r="D25" s="566"/>
      <c r="E25" s="566"/>
      <c r="F25" s="566"/>
      <c r="G25" s="566"/>
      <c r="H25" s="187" t="s">
        <v>509</v>
      </c>
      <c r="I25" s="188">
        <v>1681827</v>
      </c>
      <c r="J25" s="189">
        <v>1</v>
      </c>
      <c r="K25" s="188">
        <v>1681827</v>
      </c>
      <c r="L25" s="189"/>
      <c r="M25" s="189"/>
      <c r="N25" s="189"/>
      <c r="O25" s="188">
        <v>152893</v>
      </c>
      <c r="P25" s="189"/>
      <c r="Q25" s="188">
        <v>305787</v>
      </c>
      <c r="R25" s="189"/>
      <c r="S25" s="188">
        <v>428101</v>
      </c>
      <c r="T25" s="189"/>
      <c r="U25" s="189"/>
      <c r="V25" s="188">
        <v>79505</v>
      </c>
      <c r="W25" s="188">
        <v>87455</v>
      </c>
      <c r="X25" s="188">
        <v>628086</v>
      </c>
      <c r="Y25" s="189"/>
      <c r="Z25" s="195"/>
      <c r="AA25" s="99">
        <f>SUM(L25:Z25)</f>
        <v>1681827</v>
      </c>
    </row>
    <row r="26" spans="1:27" ht="15" thickBot="1" x14ac:dyDescent="0.35">
      <c r="A26" s="568"/>
      <c r="B26" s="569"/>
      <c r="C26" s="569"/>
      <c r="D26" s="569"/>
      <c r="E26" s="569"/>
      <c r="F26" s="569"/>
      <c r="G26" s="569"/>
      <c r="H26" s="190" t="s">
        <v>510</v>
      </c>
      <c r="I26" s="199">
        <v>1528934</v>
      </c>
      <c r="J26" s="191">
        <v>1</v>
      </c>
      <c r="K26" s="199">
        <v>1528934</v>
      </c>
      <c r="L26" s="191"/>
      <c r="M26" s="191"/>
      <c r="N26" s="191"/>
      <c r="O26" s="199">
        <v>152893</v>
      </c>
      <c r="P26" s="191"/>
      <c r="Q26" s="199">
        <v>305787</v>
      </c>
      <c r="R26" s="191"/>
      <c r="S26" s="199">
        <v>917360</v>
      </c>
      <c r="T26" s="191"/>
      <c r="U26" s="199">
        <v>152894</v>
      </c>
      <c r="V26" s="212">
        <v>152893.33484727272</v>
      </c>
      <c r="W26" s="191"/>
      <c r="X26" s="191"/>
      <c r="Y26" s="191"/>
      <c r="Z26" s="202"/>
      <c r="AA26" s="99">
        <f>SUM(L26:Z26)</f>
        <v>1681827.3348472728</v>
      </c>
    </row>
    <row r="27" spans="1:27" ht="15" thickBot="1" x14ac:dyDescent="0.35">
      <c r="A27" s="555" t="s">
        <v>523</v>
      </c>
      <c r="B27" s="556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7"/>
    </row>
    <row r="28" spans="1:27" ht="26.4" customHeight="1" x14ac:dyDescent="0.3">
      <c r="A28" s="558" t="s">
        <v>497</v>
      </c>
      <c r="B28" s="560" t="s">
        <v>498</v>
      </c>
      <c r="C28" s="560" t="s">
        <v>10</v>
      </c>
      <c r="D28" s="560" t="s">
        <v>499</v>
      </c>
      <c r="E28" s="560" t="s">
        <v>500</v>
      </c>
      <c r="F28" s="560" t="s">
        <v>501</v>
      </c>
      <c r="G28" s="560"/>
      <c r="H28" s="560"/>
      <c r="I28" s="560" t="s">
        <v>11</v>
      </c>
      <c r="J28" s="560" t="s">
        <v>502</v>
      </c>
      <c r="K28" s="560" t="s">
        <v>503</v>
      </c>
      <c r="L28" s="182">
        <v>2021</v>
      </c>
      <c r="M28" s="182">
        <v>2021</v>
      </c>
      <c r="N28" s="182">
        <v>2021</v>
      </c>
      <c r="O28" s="182">
        <v>2021</v>
      </c>
      <c r="P28" s="182">
        <v>2021</v>
      </c>
      <c r="Q28" s="182">
        <v>2021</v>
      </c>
      <c r="R28" s="182">
        <v>2021</v>
      </c>
      <c r="S28" s="182">
        <v>2021</v>
      </c>
      <c r="T28" s="182">
        <v>2021</v>
      </c>
      <c r="U28" s="182">
        <v>2021</v>
      </c>
      <c r="V28" s="182">
        <v>2021</v>
      </c>
      <c r="W28" s="182">
        <v>2022</v>
      </c>
      <c r="X28" s="182">
        <v>2022</v>
      </c>
      <c r="Y28" s="182">
        <v>2022</v>
      </c>
      <c r="Z28" s="192">
        <v>2022</v>
      </c>
    </row>
    <row r="29" spans="1:27" ht="15" thickBot="1" x14ac:dyDescent="0.35">
      <c r="A29" s="559"/>
      <c r="B29" s="561"/>
      <c r="C29" s="561"/>
      <c r="D29" s="561"/>
      <c r="E29" s="561"/>
      <c r="F29" s="561"/>
      <c r="G29" s="561"/>
      <c r="H29" s="561"/>
      <c r="I29" s="561"/>
      <c r="J29" s="561"/>
      <c r="K29" s="561"/>
      <c r="L29" s="183">
        <v>2</v>
      </c>
      <c r="M29" s="183">
        <v>3</v>
      </c>
      <c r="N29" s="183">
        <v>4</v>
      </c>
      <c r="O29" s="183">
        <v>5</v>
      </c>
      <c r="P29" s="183">
        <v>6</v>
      </c>
      <c r="Q29" s="183">
        <v>7</v>
      </c>
      <c r="R29" s="183">
        <v>8</v>
      </c>
      <c r="S29" s="183">
        <v>9</v>
      </c>
      <c r="T29" s="183">
        <v>10</v>
      </c>
      <c r="U29" s="183">
        <v>11</v>
      </c>
      <c r="V29" s="183">
        <v>12</v>
      </c>
      <c r="W29" s="183">
        <v>1</v>
      </c>
      <c r="X29" s="183">
        <v>2</v>
      </c>
      <c r="Y29" s="183">
        <v>3</v>
      </c>
      <c r="Z29" s="193">
        <v>4</v>
      </c>
    </row>
    <row r="30" spans="1:27" ht="27.6" customHeight="1" thickBot="1" x14ac:dyDescent="0.35">
      <c r="A30" s="562">
        <v>1</v>
      </c>
      <c r="B30" s="565" t="s">
        <v>524</v>
      </c>
      <c r="C30" s="565" t="s">
        <v>505</v>
      </c>
      <c r="D30" s="565" t="s">
        <v>525</v>
      </c>
      <c r="E30" s="565" t="s">
        <v>526</v>
      </c>
      <c r="F30" s="565" t="s">
        <v>507</v>
      </c>
      <c r="G30" s="565"/>
      <c r="H30" s="184" t="s">
        <v>508</v>
      </c>
      <c r="I30" s="185"/>
      <c r="J30" s="185"/>
      <c r="K30" s="185"/>
      <c r="L30" s="185"/>
      <c r="M30" s="186">
        <v>966088951</v>
      </c>
      <c r="N30" s="186">
        <v>1705485459</v>
      </c>
      <c r="O30" s="186">
        <v>1001152961</v>
      </c>
      <c r="P30" s="186">
        <v>1116538819</v>
      </c>
      <c r="Q30" s="186">
        <v>652694615</v>
      </c>
      <c r="R30" s="186">
        <v>1505132065</v>
      </c>
      <c r="S30" s="186">
        <v>892018227</v>
      </c>
      <c r="T30" s="186">
        <v>1257080909</v>
      </c>
      <c r="U30" s="186">
        <v>2640879435</v>
      </c>
      <c r="V30" s="186">
        <v>937255492</v>
      </c>
      <c r="W30" s="186">
        <v>1030981041</v>
      </c>
      <c r="X30" s="186">
        <v>1124706590</v>
      </c>
      <c r="Y30" s="186">
        <v>6279611795</v>
      </c>
      <c r="Z30" s="194"/>
    </row>
    <row r="31" spans="1:27" ht="15" thickBot="1" x14ac:dyDescent="0.35">
      <c r="A31" s="563"/>
      <c r="B31" s="566"/>
      <c r="C31" s="566"/>
      <c r="D31" s="566"/>
      <c r="E31" s="566"/>
      <c r="F31" s="566"/>
      <c r="G31" s="566"/>
      <c r="H31" s="187" t="s">
        <v>509</v>
      </c>
      <c r="I31" s="188">
        <v>21109626359</v>
      </c>
      <c r="J31" s="189">
        <v>1</v>
      </c>
      <c r="K31" s="188">
        <v>21109626359</v>
      </c>
      <c r="L31" s="189"/>
      <c r="M31" s="188">
        <v>966088951</v>
      </c>
      <c r="N31" s="188">
        <v>1705485459</v>
      </c>
      <c r="O31" s="188">
        <v>1001152961</v>
      </c>
      <c r="P31" s="188">
        <v>1116538819</v>
      </c>
      <c r="Q31" s="188">
        <v>652694615</v>
      </c>
      <c r="R31" s="188">
        <v>1505132065</v>
      </c>
      <c r="S31" s="188">
        <v>892018227</v>
      </c>
      <c r="T31" s="188">
        <v>1257080909</v>
      </c>
      <c r="U31" s="188">
        <v>2640879435</v>
      </c>
      <c r="V31" s="188">
        <v>937255492</v>
      </c>
      <c r="W31" s="188">
        <v>1030981041</v>
      </c>
      <c r="X31" s="188">
        <v>1124706590</v>
      </c>
      <c r="Y31" s="188">
        <v>6279611795</v>
      </c>
      <c r="Z31" s="195"/>
      <c r="AA31" s="99">
        <f>SUM(L31:Z31)</f>
        <v>21109626359</v>
      </c>
    </row>
    <row r="32" spans="1:27" ht="15" thickBot="1" x14ac:dyDescent="0.35">
      <c r="A32" s="568"/>
      <c r="B32" s="569"/>
      <c r="C32" s="569"/>
      <c r="D32" s="569"/>
      <c r="E32" s="569"/>
      <c r="F32" s="569"/>
      <c r="G32" s="569"/>
      <c r="H32" s="190" t="s">
        <v>510</v>
      </c>
      <c r="I32" s="199">
        <v>9985074020</v>
      </c>
      <c r="J32" s="191">
        <v>1</v>
      </c>
      <c r="K32" s="199">
        <v>9985074020</v>
      </c>
      <c r="L32" s="191"/>
      <c r="M32" s="199">
        <v>966088951</v>
      </c>
      <c r="N32" s="199">
        <v>1705485459</v>
      </c>
      <c r="O32" s="199">
        <v>1001152961</v>
      </c>
      <c r="P32" s="199">
        <v>1116538819</v>
      </c>
      <c r="Q32" s="199">
        <v>652694615</v>
      </c>
      <c r="R32" s="199">
        <v>1505132065</v>
      </c>
      <c r="S32" s="199">
        <v>1030777210</v>
      </c>
      <c r="T32" s="199">
        <v>991830816</v>
      </c>
      <c r="U32" s="199">
        <v>1015373124</v>
      </c>
      <c r="V32" s="212">
        <v>1726646452.1256266</v>
      </c>
      <c r="W32" s="212">
        <v>891606621.93936658</v>
      </c>
      <c r="X32" s="191"/>
      <c r="Y32" s="191"/>
      <c r="Z32" s="202"/>
      <c r="AA32" s="99">
        <f>SUM(L32:Z32)</f>
        <v>12603327094.064993</v>
      </c>
    </row>
    <row r="33" spans="1:27" ht="15" thickBot="1" x14ac:dyDescent="0.35">
      <c r="A33" s="555" t="s">
        <v>527</v>
      </c>
      <c r="B33" s="556"/>
      <c r="C33" s="556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7"/>
    </row>
    <row r="34" spans="1:27" ht="26.4" customHeight="1" x14ac:dyDescent="0.3">
      <c r="A34" s="558" t="s">
        <v>497</v>
      </c>
      <c r="B34" s="560" t="s">
        <v>498</v>
      </c>
      <c r="C34" s="560" t="s">
        <v>10</v>
      </c>
      <c r="D34" s="560" t="s">
        <v>499</v>
      </c>
      <c r="E34" s="560" t="s">
        <v>500</v>
      </c>
      <c r="F34" s="560" t="s">
        <v>501</v>
      </c>
      <c r="G34" s="560"/>
      <c r="H34" s="560"/>
      <c r="I34" s="560" t="s">
        <v>11</v>
      </c>
      <c r="J34" s="560" t="s">
        <v>502</v>
      </c>
      <c r="K34" s="560" t="s">
        <v>503</v>
      </c>
      <c r="L34" s="182">
        <v>2021</v>
      </c>
      <c r="M34" s="182">
        <v>2021</v>
      </c>
      <c r="N34" s="182">
        <v>2021</v>
      </c>
      <c r="O34" s="182">
        <v>2021</v>
      </c>
      <c r="P34" s="182">
        <v>2021</v>
      </c>
      <c r="Q34" s="182">
        <v>2021</v>
      </c>
      <c r="R34" s="182">
        <v>2021</v>
      </c>
      <c r="S34" s="182">
        <v>2021</v>
      </c>
      <c r="T34" s="182">
        <v>2021</v>
      </c>
      <c r="U34" s="182">
        <v>2021</v>
      </c>
      <c r="V34" s="182">
        <v>2021</v>
      </c>
      <c r="W34" s="182">
        <v>2022</v>
      </c>
      <c r="X34" s="182">
        <v>2022</v>
      </c>
      <c r="Y34" s="182">
        <v>2022</v>
      </c>
      <c r="Z34" s="192">
        <v>2022</v>
      </c>
    </row>
    <row r="35" spans="1:27" ht="15" thickBot="1" x14ac:dyDescent="0.35">
      <c r="A35" s="559"/>
      <c r="B35" s="561"/>
      <c r="C35" s="561"/>
      <c r="D35" s="561"/>
      <c r="E35" s="561"/>
      <c r="F35" s="561"/>
      <c r="G35" s="561"/>
      <c r="H35" s="561"/>
      <c r="I35" s="561"/>
      <c r="J35" s="561"/>
      <c r="K35" s="561"/>
      <c r="L35" s="183">
        <v>2</v>
      </c>
      <c r="M35" s="183">
        <v>3</v>
      </c>
      <c r="N35" s="183">
        <v>4</v>
      </c>
      <c r="O35" s="183">
        <v>5</v>
      </c>
      <c r="P35" s="183">
        <v>6</v>
      </c>
      <c r="Q35" s="183">
        <v>7</v>
      </c>
      <c r="R35" s="183">
        <v>8</v>
      </c>
      <c r="S35" s="183">
        <v>9</v>
      </c>
      <c r="T35" s="183">
        <v>10</v>
      </c>
      <c r="U35" s="183">
        <v>11</v>
      </c>
      <c r="V35" s="183">
        <v>12</v>
      </c>
      <c r="W35" s="183">
        <v>1</v>
      </c>
      <c r="X35" s="183">
        <v>2</v>
      </c>
      <c r="Y35" s="183">
        <v>3</v>
      </c>
      <c r="Z35" s="193">
        <v>4</v>
      </c>
    </row>
    <row r="36" spans="1:27" ht="15" thickBot="1" x14ac:dyDescent="0.35">
      <c r="A36" s="562">
        <v>1</v>
      </c>
      <c r="B36" s="565" t="s">
        <v>34</v>
      </c>
      <c r="C36" s="565" t="s">
        <v>505</v>
      </c>
      <c r="D36" s="565">
        <v>0</v>
      </c>
      <c r="E36" s="565">
        <v>0</v>
      </c>
      <c r="F36" s="565" t="s">
        <v>507</v>
      </c>
      <c r="G36" s="565"/>
      <c r="H36" s="184" t="s">
        <v>508</v>
      </c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94"/>
    </row>
    <row r="37" spans="1:27" ht="15" thickBot="1" x14ac:dyDescent="0.35">
      <c r="A37" s="563"/>
      <c r="B37" s="566"/>
      <c r="C37" s="566"/>
      <c r="D37" s="566"/>
      <c r="E37" s="566"/>
      <c r="F37" s="566"/>
      <c r="G37" s="566"/>
      <c r="H37" s="187" t="s">
        <v>509</v>
      </c>
      <c r="I37" s="188">
        <v>1831296154</v>
      </c>
      <c r="J37" s="189">
        <v>1</v>
      </c>
      <c r="K37" s="188">
        <v>1831296154</v>
      </c>
      <c r="L37" s="188">
        <v>166978093</v>
      </c>
      <c r="M37" s="188">
        <v>140792008</v>
      </c>
      <c r="N37" s="188">
        <v>158287416</v>
      </c>
      <c r="O37" s="188">
        <v>160632232</v>
      </c>
      <c r="P37" s="188">
        <v>157932577</v>
      </c>
      <c r="Q37" s="188">
        <v>164000000</v>
      </c>
      <c r="R37" s="188">
        <v>172000000</v>
      </c>
      <c r="S37" s="188">
        <v>172000000</v>
      </c>
      <c r="T37" s="188">
        <v>538673828</v>
      </c>
      <c r="U37" s="189"/>
      <c r="V37" s="189"/>
      <c r="W37" s="189"/>
      <c r="X37" s="189"/>
      <c r="Y37" s="189"/>
      <c r="Z37" s="195"/>
      <c r="AA37" s="99">
        <f>SUM(L37:Z37)</f>
        <v>1831296154</v>
      </c>
    </row>
    <row r="38" spans="1:27" ht="15" thickBot="1" x14ac:dyDescent="0.35">
      <c r="A38" s="568"/>
      <c r="B38" s="569"/>
      <c r="C38" s="569"/>
      <c r="D38" s="569"/>
      <c r="E38" s="569"/>
      <c r="F38" s="569"/>
      <c r="G38" s="569"/>
      <c r="H38" s="190" t="s">
        <v>510</v>
      </c>
      <c r="I38" s="199">
        <v>1450538816</v>
      </c>
      <c r="J38" s="191">
        <v>1</v>
      </c>
      <c r="K38" s="199">
        <v>1450538816</v>
      </c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207"/>
      <c r="W38" s="191"/>
      <c r="X38" s="199">
        <v>1450538816</v>
      </c>
      <c r="Y38" s="191"/>
      <c r="Z38" s="202"/>
      <c r="AA38" s="99">
        <f>SUM(L38:Z38)</f>
        <v>1450538816</v>
      </c>
    </row>
    <row r="39" spans="1:27" ht="15" thickBot="1" x14ac:dyDescent="0.35">
      <c r="A39" s="555" t="s">
        <v>528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7"/>
    </row>
    <row r="40" spans="1:27" ht="26.4" customHeight="1" x14ac:dyDescent="0.3">
      <c r="A40" s="558" t="s">
        <v>497</v>
      </c>
      <c r="B40" s="560" t="s">
        <v>498</v>
      </c>
      <c r="C40" s="560" t="s">
        <v>10</v>
      </c>
      <c r="D40" s="560" t="s">
        <v>499</v>
      </c>
      <c r="E40" s="560" t="s">
        <v>500</v>
      </c>
      <c r="F40" s="560" t="s">
        <v>501</v>
      </c>
      <c r="G40" s="560"/>
      <c r="H40" s="560"/>
      <c r="I40" s="560" t="s">
        <v>11</v>
      </c>
      <c r="J40" s="560" t="s">
        <v>502</v>
      </c>
      <c r="K40" s="560" t="s">
        <v>503</v>
      </c>
      <c r="L40" s="182">
        <v>2021</v>
      </c>
      <c r="M40" s="182">
        <v>2021</v>
      </c>
      <c r="N40" s="182">
        <v>2021</v>
      </c>
      <c r="O40" s="182">
        <v>2021</v>
      </c>
      <c r="P40" s="182">
        <v>2021</v>
      </c>
      <c r="Q40" s="182">
        <v>2021</v>
      </c>
      <c r="R40" s="182">
        <v>2021</v>
      </c>
      <c r="S40" s="182">
        <v>2021</v>
      </c>
      <c r="T40" s="182">
        <v>2021</v>
      </c>
      <c r="U40" s="182">
        <v>2021</v>
      </c>
      <c r="V40" s="182">
        <v>2021</v>
      </c>
      <c r="W40" s="182">
        <v>2022</v>
      </c>
      <c r="X40" s="182">
        <v>2022</v>
      </c>
      <c r="Y40" s="182">
        <v>2022</v>
      </c>
      <c r="Z40" s="192">
        <v>2022</v>
      </c>
    </row>
    <row r="41" spans="1:27" ht="15" thickBot="1" x14ac:dyDescent="0.35">
      <c r="A41" s="559"/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183">
        <v>2</v>
      </c>
      <c r="M41" s="183">
        <v>3</v>
      </c>
      <c r="N41" s="183">
        <v>4</v>
      </c>
      <c r="O41" s="183">
        <v>5</v>
      </c>
      <c r="P41" s="183">
        <v>6</v>
      </c>
      <c r="Q41" s="183">
        <v>7</v>
      </c>
      <c r="R41" s="183">
        <v>8</v>
      </c>
      <c r="S41" s="183">
        <v>9</v>
      </c>
      <c r="T41" s="183">
        <v>10</v>
      </c>
      <c r="U41" s="183">
        <v>11</v>
      </c>
      <c r="V41" s="183">
        <v>12</v>
      </c>
      <c r="W41" s="183">
        <v>1</v>
      </c>
      <c r="X41" s="183">
        <v>2</v>
      </c>
      <c r="Y41" s="183">
        <v>3</v>
      </c>
      <c r="Z41" s="193">
        <v>4</v>
      </c>
    </row>
    <row r="42" spans="1:27" ht="15" thickBot="1" x14ac:dyDescent="0.35">
      <c r="A42" s="562">
        <v>1</v>
      </c>
      <c r="B42" s="565" t="s">
        <v>529</v>
      </c>
      <c r="C42" s="565" t="s">
        <v>505</v>
      </c>
      <c r="D42" s="565" t="s">
        <v>530</v>
      </c>
      <c r="E42" s="565">
        <v>0</v>
      </c>
      <c r="F42" s="565" t="s">
        <v>507</v>
      </c>
      <c r="G42" s="565"/>
      <c r="H42" s="184" t="s">
        <v>508</v>
      </c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6">
        <v>263719985</v>
      </c>
      <c r="Y42" s="185"/>
      <c r="Z42" s="194"/>
    </row>
    <row r="43" spans="1:27" ht="15" thickBot="1" x14ac:dyDescent="0.35">
      <c r="A43" s="563"/>
      <c r="B43" s="566"/>
      <c r="C43" s="566"/>
      <c r="D43" s="566"/>
      <c r="E43" s="566"/>
      <c r="F43" s="566"/>
      <c r="G43" s="566"/>
      <c r="H43" s="187" t="s">
        <v>509</v>
      </c>
      <c r="I43" s="188">
        <v>263719985</v>
      </c>
      <c r="J43" s="189">
        <v>1</v>
      </c>
      <c r="K43" s="188">
        <v>263719985</v>
      </c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8">
        <v>263719985</v>
      </c>
      <c r="Y43" s="189"/>
      <c r="Z43" s="195"/>
      <c r="AA43" s="99">
        <f>SUM(L43:Z43)</f>
        <v>263719985</v>
      </c>
    </row>
    <row r="44" spans="1:27" ht="15" thickBot="1" x14ac:dyDescent="0.35">
      <c r="A44" s="568"/>
      <c r="B44" s="569"/>
      <c r="C44" s="569"/>
      <c r="D44" s="569"/>
      <c r="E44" s="569"/>
      <c r="F44" s="569"/>
      <c r="G44" s="569"/>
      <c r="H44" s="190" t="s">
        <v>510</v>
      </c>
      <c r="I44" s="191"/>
      <c r="J44" s="191">
        <v>0</v>
      </c>
      <c r="K44" s="191">
        <v>0</v>
      </c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>
        <v>101506881</v>
      </c>
      <c r="W44" s="191"/>
      <c r="X44" s="191"/>
      <c r="Y44" s="191"/>
      <c r="Z44" s="202"/>
      <c r="AA44" s="99">
        <f>SUM(L44:Z44)</f>
        <v>101506881</v>
      </c>
    </row>
    <row r="45" spans="1:27" ht="15" thickBot="1" x14ac:dyDescent="0.35">
      <c r="A45" s="555" t="s">
        <v>531</v>
      </c>
      <c r="B45" s="556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7"/>
    </row>
    <row r="46" spans="1:27" ht="26.4" customHeight="1" x14ac:dyDescent="0.3">
      <c r="A46" s="558" t="s">
        <v>497</v>
      </c>
      <c r="B46" s="560" t="s">
        <v>498</v>
      </c>
      <c r="C46" s="560" t="s">
        <v>10</v>
      </c>
      <c r="D46" s="560" t="s">
        <v>499</v>
      </c>
      <c r="E46" s="560" t="s">
        <v>500</v>
      </c>
      <c r="F46" s="560" t="s">
        <v>501</v>
      </c>
      <c r="G46" s="560"/>
      <c r="H46" s="560"/>
      <c r="I46" s="560" t="s">
        <v>11</v>
      </c>
      <c r="J46" s="560" t="s">
        <v>502</v>
      </c>
      <c r="K46" s="560" t="s">
        <v>503</v>
      </c>
      <c r="L46" s="182">
        <v>2021</v>
      </c>
      <c r="M46" s="182">
        <v>2021</v>
      </c>
      <c r="N46" s="182">
        <v>2021</v>
      </c>
      <c r="O46" s="182">
        <v>2021</v>
      </c>
      <c r="P46" s="182">
        <v>2021</v>
      </c>
      <c r="Q46" s="182">
        <v>2021</v>
      </c>
      <c r="R46" s="182">
        <v>2021</v>
      </c>
      <c r="S46" s="182">
        <v>2021</v>
      </c>
      <c r="T46" s="182">
        <v>2021</v>
      </c>
      <c r="U46" s="182">
        <v>2021</v>
      </c>
      <c r="V46" s="182">
        <v>2021</v>
      </c>
      <c r="W46" s="182">
        <v>2022</v>
      </c>
      <c r="X46" s="182">
        <v>2022</v>
      </c>
      <c r="Y46" s="182">
        <v>2022</v>
      </c>
      <c r="Z46" s="192">
        <v>2022</v>
      </c>
    </row>
    <row r="47" spans="1:27" ht="15" thickBot="1" x14ac:dyDescent="0.35">
      <c r="A47" s="559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183">
        <v>2</v>
      </c>
      <c r="M47" s="183">
        <v>3</v>
      </c>
      <c r="N47" s="183">
        <v>4</v>
      </c>
      <c r="O47" s="183">
        <v>5</v>
      </c>
      <c r="P47" s="183">
        <v>6</v>
      </c>
      <c r="Q47" s="183">
        <v>7</v>
      </c>
      <c r="R47" s="183">
        <v>8</v>
      </c>
      <c r="S47" s="183">
        <v>9</v>
      </c>
      <c r="T47" s="183">
        <v>10</v>
      </c>
      <c r="U47" s="183">
        <v>11</v>
      </c>
      <c r="V47" s="183">
        <v>12</v>
      </c>
      <c r="W47" s="183">
        <v>1</v>
      </c>
      <c r="X47" s="183">
        <v>2</v>
      </c>
      <c r="Y47" s="183">
        <v>3</v>
      </c>
      <c r="Z47" s="193">
        <v>4</v>
      </c>
    </row>
    <row r="48" spans="1:27" ht="18" customHeight="1" thickBot="1" x14ac:dyDescent="0.35">
      <c r="A48" s="562">
        <v>1</v>
      </c>
      <c r="B48" s="565" t="s">
        <v>532</v>
      </c>
      <c r="C48" s="565" t="s">
        <v>505</v>
      </c>
      <c r="D48" s="565" t="s">
        <v>533</v>
      </c>
      <c r="E48" s="565">
        <v>0</v>
      </c>
      <c r="F48" s="565" t="s">
        <v>507</v>
      </c>
      <c r="G48" s="565"/>
      <c r="H48" s="184" t="s">
        <v>508</v>
      </c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6">
        <v>268494001</v>
      </c>
      <c r="Y48" s="185"/>
      <c r="Z48" s="194"/>
    </row>
    <row r="49" spans="1:29" ht="15" thickBot="1" x14ac:dyDescent="0.35">
      <c r="A49" s="563"/>
      <c r="B49" s="566"/>
      <c r="C49" s="566"/>
      <c r="D49" s="566"/>
      <c r="E49" s="566"/>
      <c r="F49" s="566"/>
      <c r="G49" s="566"/>
      <c r="H49" s="187" t="s">
        <v>509</v>
      </c>
      <c r="I49" s="188">
        <v>268494001</v>
      </c>
      <c r="J49" s="189">
        <v>1</v>
      </c>
      <c r="K49" s="188">
        <v>268494001</v>
      </c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8">
        <v>268494001</v>
      </c>
      <c r="Y49" s="189"/>
      <c r="Z49" s="195"/>
      <c r="AA49" s="99">
        <f>SUM(L49:Z49)</f>
        <v>268494001</v>
      </c>
    </row>
    <row r="50" spans="1:29" ht="15" thickBot="1" x14ac:dyDescent="0.35">
      <c r="A50" s="568"/>
      <c r="B50" s="569"/>
      <c r="C50" s="569"/>
      <c r="D50" s="569"/>
      <c r="E50" s="569"/>
      <c r="F50" s="569"/>
      <c r="G50" s="569"/>
      <c r="H50" s="190" t="s">
        <v>510</v>
      </c>
      <c r="I50" s="191"/>
      <c r="J50" s="191">
        <v>0</v>
      </c>
      <c r="K50" s="191">
        <v>0</v>
      </c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212">
        <v>96888986</v>
      </c>
      <c r="W50" s="191"/>
      <c r="X50" s="191"/>
      <c r="Y50" s="191"/>
      <c r="Z50" s="202"/>
      <c r="AA50" s="99">
        <f>SUM(L50:Z50)</f>
        <v>96888986</v>
      </c>
    </row>
    <row r="51" spans="1:29" ht="15" thickBot="1" x14ac:dyDescent="0.35">
      <c r="A51" s="555" t="s">
        <v>534</v>
      </c>
      <c r="B51" s="556"/>
      <c r="C51" s="556"/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7"/>
    </row>
    <row r="52" spans="1:29" ht="26.4" customHeight="1" x14ac:dyDescent="0.3">
      <c r="A52" s="558" t="s">
        <v>497</v>
      </c>
      <c r="B52" s="560" t="s">
        <v>498</v>
      </c>
      <c r="C52" s="560" t="s">
        <v>10</v>
      </c>
      <c r="D52" s="560" t="s">
        <v>499</v>
      </c>
      <c r="E52" s="560" t="s">
        <v>500</v>
      </c>
      <c r="F52" s="560" t="s">
        <v>501</v>
      </c>
      <c r="G52" s="560"/>
      <c r="H52" s="560"/>
      <c r="I52" s="560" t="s">
        <v>11</v>
      </c>
      <c r="J52" s="560" t="s">
        <v>502</v>
      </c>
      <c r="K52" s="560" t="s">
        <v>503</v>
      </c>
      <c r="L52" s="182">
        <v>2021</v>
      </c>
      <c r="M52" s="182">
        <v>2021</v>
      </c>
      <c r="N52" s="182">
        <v>2021</v>
      </c>
      <c r="O52" s="182">
        <v>2021</v>
      </c>
      <c r="P52" s="182">
        <v>2021</v>
      </c>
      <c r="Q52" s="182">
        <v>2021</v>
      </c>
      <c r="R52" s="182">
        <v>2021</v>
      </c>
      <c r="S52" s="182">
        <v>2021</v>
      </c>
      <c r="T52" s="182">
        <v>2021</v>
      </c>
      <c r="U52" s="182">
        <v>2021</v>
      </c>
      <c r="V52" s="182">
        <v>2021</v>
      </c>
      <c r="W52" s="182">
        <v>2022</v>
      </c>
      <c r="X52" s="182">
        <v>2022</v>
      </c>
      <c r="Y52" s="182">
        <v>2022</v>
      </c>
      <c r="Z52" s="192">
        <v>2022</v>
      </c>
    </row>
    <row r="53" spans="1:29" ht="15" thickBot="1" x14ac:dyDescent="0.35">
      <c r="A53" s="559"/>
      <c r="B53" s="561"/>
      <c r="C53" s="561"/>
      <c r="D53" s="561"/>
      <c r="E53" s="561"/>
      <c r="F53" s="561"/>
      <c r="G53" s="561"/>
      <c r="H53" s="561"/>
      <c r="I53" s="561"/>
      <c r="J53" s="561"/>
      <c r="K53" s="561"/>
      <c r="L53" s="183">
        <v>2</v>
      </c>
      <c r="M53" s="183">
        <v>3</v>
      </c>
      <c r="N53" s="183">
        <v>4</v>
      </c>
      <c r="O53" s="183">
        <v>5</v>
      </c>
      <c r="P53" s="183">
        <v>6</v>
      </c>
      <c r="Q53" s="183">
        <v>7</v>
      </c>
      <c r="R53" s="183">
        <v>8</v>
      </c>
      <c r="S53" s="183">
        <v>9</v>
      </c>
      <c r="T53" s="183">
        <v>10</v>
      </c>
      <c r="U53" s="183">
        <v>11</v>
      </c>
      <c r="V53" s="183">
        <v>12</v>
      </c>
      <c r="W53" s="183">
        <v>1</v>
      </c>
      <c r="X53" s="183">
        <v>2</v>
      </c>
      <c r="Y53" s="183">
        <v>3</v>
      </c>
      <c r="Z53" s="193">
        <v>4</v>
      </c>
    </row>
    <row r="54" spans="1:29" ht="15" thickBot="1" x14ac:dyDescent="0.35">
      <c r="A54" s="562">
        <v>1</v>
      </c>
      <c r="B54" s="565" t="s">
        <v>535</v>
      </c>
      <c r="C54" s="565" t="s">
        <v>505</v>
      </c>
      <c r="D54" s="565" t="s">
        <v>536</v>
      </c>
      <c r="E54" s="565">
        <v>0</v>
      </c>
      <c r="F54" s="565" t="s">
        <v>507</v>
      </c>
      <c r="G54" s="565"/>
      <c r="H54" s="184" t="s">
        <v>508</v>
      </c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6">
        <v>17030014</v>
      </c>
      <c r="W54" s="186">
        <v>18733015</v>
      </c>
      <c r="X54" s="186">
        <v>20436016</v>
      </c>
      <c r="Y54" s="186">
        <v>105586084</v>
      </c>
      <c r="Z54" s="200">
        <v>8515006</v>
      </c>
    </row>
    <row r="55" spans="1:29" ht="15" thickBot="1" x14ac:dyDescent="0.35">
      <c r="A55" s="563"/>
      <c r="B55" s="566"/>
      <c r="C55" s="566"/>
      <c r="D55" s="566"/>
      <c r="E55" s="566"/>
      <c r="F55" s="566"/>
      <c r="G55" s="566"/>
      <c r="H55" s="187" t="s">
        <v>509</v>
      </c>
      <c r="I55" s="188">
        <v>170300135</v>
      </c>
      <c r="J55" s="189">
        <v>1</v>
      </c>
      <c r="K55" s="188">
        <v>170300135</v>
      </c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8">
        <v>17030014</v>
      </c>
      <c r="W55" s="188">
        <v>18733015</v>
      </c>
      <c r="X55" s="188">
        <v>20436016</v>
      </c>
      <c r="Y55" s="188">
        <v>105586084</v>
      </c>
      <c r="Z55" s="201">
        <v>8515006</v>
      </c>
      <c r="AA55" s="99">
        <f>SUM(L55:Z55)</f>
        <v>170300135</v>
      </c>
    </row>
    <row r="56" spans="1:29" ht="15" thickBot="1" x14ac:dyDescent="0.35">
      <c r="A56" s="564"/>
      <c r="B56" s="567"/>
      <c r="C56" s="567"/>
      <c r="D56" s="567"/>
      <c r="E56" s="567"/>
      <c r="F56" s="567"/>
      <c r="G56" s="567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4"/>
      <c r="AA56" s="99">
        <f>SUM(L56:Z56)</f>
        <v>0</v>
      </c>
    </row>
    <row r="57" spans="1:29" x14ac:dyDescent="0.3">
      <c r="Z57" t="s">
        <v>537</v>
      </c>
      <c r="AA57" s="99">
        <f>+AA6+AA13+AA19+AA25+AA31+AA37+AA43+AA49+AA55</f>
        <v>26529124225</v>
      </c>
    </row>
    <row r="58" spans="1:29" x14ac:dyDescent="0.3">
      <c r="Z58" t="s">
        <v>538</v>
      </c>
      <c r="AA58" s="99">
        <f>+AA7+AA14+AA20+AA26+AA32+AA38+AA44+AA50+AA56</f>
        <v>15054920735.448879</v>
      </c>
      <c r="AB58" s="206"/>
      <c r="AC58" s="87"/>
    </row>
    <row r="59" spans="1:29" x14ac:dyDescent="0.3">
      <c r="AA59" s="205"/>
    </row>
    <row r="60" spans="1:29" x14ac:dyDescent="0.3">
      <c r="K60" s="211">
        <f>+K56+K50+K44+K38+K32+K26+K20+K14+K7</f>
        <v>12077264906</v>
      </c>
      <c r="Z60" t="s">
        <v>539</v>
      </c>
      <c r="AA60" s="99">
        <f>+AA57-AA37</f>
        <v>24697828071</v>
      </c>
      <c r="AB60" s="211">
        <v>24573731754</v>
      </c>
    </row>
    <row r="61" spans="1:29" x14ac:dyDescent="0.3">
      <c r="AA61" s="210">
        <f>+AA7+AA14+AA20+AA26+AA32+AB38+AA44+AA50+AA56</f>
        <v>13604381919.448879</v>
      </c>
    </row>
    <row r="62" spans="1:29" x14ac:dyDescent="0.3">
      <c r="Z62" t="s">
        <v>540</v>
      </c>
      <c r="AA62" s="209">
        <f>+AA61/AA60</f>
        <v>0.55083312914559646</v>
      </c>
    </row>
    <row r="63" spans="1:29" x14ac:dyDescent="0.3">
      <c r="AA63" s="208"/>
    </row>
  </sheetData>
  <mergeCells count="173">
    <mergeCell ref="A54:A56"/>
    <mergeCell ref="B54:B56"/>
    <mergeCell ref="C54:C56"/>
    <mergeCell ref="D54:D56"/>
    <mergeCell ref="E54:E56"/>
    <mergeCell ref="F54:F56"/>
    <mergeCell ref="G54:G56"/>
    <mergeCell ref="A48:A50"/>
    <mergeCell ref="B48:B50"/>
    <mergeCell ref="C48:C50"/>
    <mergeCell ref="D48:D50"/>
    <mergeCell ref="E48:E50"/>
    <mergeCell ref="F48:F50"/>
    <mergeCell ref="G48:G50"/>
    <mergeCell ref="A51:Z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A42:A44"/>
    <mergeCell ref="B42:B44"/>
    <mergeCell ref="C42:C44"/>
    <mergeCell ref="D42:D44"/>
    <mergeCell ref="E42:E44"/>
    <mergeCell ref="F42:F44"/>
    <mergeCell ref="G42:G44"/>
    <mergeCell ref="A45:Z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A36:A38"/>
    <mergeCell ref="B36:B38"/>
    <mergeCell ref="C36:C38"/>
    <mergeCell ref="D36:D38"/>
    <mergeCell ref="E36:E38"/>
    <mergeCell ref="F36:F38"/>
    <mergeCell ref="G36:G38"/>
    <mergeCell ref="A39:Z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A30:A32"/>
    <mergeCell ref="B30:B32"/>
    <mergeCell ref="C30:C32"/>
    <mergeCell ref="D30:D32"/>
    <mergeCell ref="E30:E32"/>
    <mergeCell ref="F30:F32"/>
    <mergeCell ref="G30:G32"/>
    <mergeCell ref="A33:Z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4:A26"/>
    <mergeCell ref="B24:B26"/>
    <mergeCell ref="C24:C26"/>
    <mergeCell ref="D24:D26"/>
    <mergeCell ref="E24:E26"/>
    <mergeCell ref="F24:F26"/>
    <mergeCell ref="G24:G26"/>
    <mergeCell ref="A27:Z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18:A20"/>
    <mergeCell ref="B18:B20"/>
    <mergeCell ref="C18:C20"/>
    <mergeCell ref="D18:D20"/>
    <mergeCell ref="E18:E20"/>
    <mergeCell ref="F18:F20"/>
    <mergeCell ref="G18:G20"/>
    <mergeCell ref="A21:Z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15:Z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J10:J11"/>
    <mergeCell ref="K10:K11"/>
    <mergeCell ref="A12:A14"/>
    <mergeCell ref="B12:B14"/>
    <mergeCell ref="C12:C14"/>
    <mergeCell ref="D12:D14"/>
    <mergeCell ref="E12:E14"/>
    <mergeCell ref="F12:F14"/>
    <mergeCell ref="G12:G1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5:A7"/>
    <mergeCell ref="B5:B7"/>
    <mergeCell ref="C5:C7"/>
    <mergeCell ref="D5:D7"/>
    <mergeCell ref="E5:E7"/>
    <mergeCell ref="F5:F7"/>
    <mergeCell ref="G5:G7"/>
    <mergeCell ref="A8:Z8"/>
    <mergeCell ref="A9:Z9"/>
    <mergeCell ref="A1:Z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BALANCE CANTIDADES</vt:lpstr>
      <vt:lpstr>Hoja3</vt:lpstr>
      <vt:lpstr>Hoja4</vt:lpstr>
      <vt:lpstr>Hoja2</vt:lpstr>
      <vt:lpstr>Hoja1</vt:lpstr>
      <vt:lpstr>'BALANCE CANTIDADES'!Área_de_impresión</vt:lpstr>
      <vt:lpstr>'BALANCE CANTIDADES'!Print_Area</vt:lpstr>
      <vt:lpstr>'BALANCE CANTIDADES'!Títulos_a_imprimir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REGALÍAS ANTIOQUIA</cp:lastModifiedBy>
  <cp:revision/>
  <cp:lastPrinted>2023-09-29T20:52:04Z</cp:lastPrinted>
  <dcterms:created xsi:type="dcterms:W3CDTF">2021-10-29T03:11:05Z</dcterms:created>
  <dcterms:modified xsi:type="dcterms:W3CDTF">2023-10-23T22:15:26Z</dcterms:modified>
  <cp:category/>
  <cp:contentStatus/>
</cp:coreProperties>
</file>