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hidePivotFieldList="1" defaultThemeVersion="124226"/>
  <mc:AlternateContent xmlns:mc="http://schemas.openxmlformats.org/markup-compatibility/2006">
    <mc:Choice Requires="x15">
      <x15ac:absPath xmlns:x15ac="http://schemas.microsoft.com/office/spreadsheetml/2010/11/ac" url="https://gobantioquia-my.sharepoint.com/personal/lvalderramarue_antioquia_gov_co/Documents/documentos/planeacion departamental/rendicion de cuentas/estrategia RdC/"/>
    </mc:Choice>
  </mc:AlternateContent>
  <xr:revisionPtr revIDLastSave="0" documentId="8_{1F08769B-9F73-4A68-AA2B-EC4B9CC2168A}" xr6:coauthVersionLast="45" xr6:coauthVersionMax="45" xr10:uidLastSave="{00000000-0000-0000-0000-000000000000}"/>
  <bookViews>
    <workbookView xWindow="-108" yWindow="-108" windowWidth="23256" windowHeight="12576" tabRatio="881" firstSheet="2" activeTab="2" xr2:uid="{00000000-000D-0000-FFFF-FFFF00000000}"/>
  </bookViews>
  <sheets>
    <sheet name="Orientaciones Generales" sheetId="20" r:id="rId1"/>
    <sheet name="Matriz Dofa" sheetId="22" r:id="rId2"/>
    <sheet name="Matriz multicriterio" sheetId="25" r:id="rId3"/>
    <sheet name="Riesgos gestion" sheetId="1" r:id="rId4"/>
    <sheet name="Riesgos de Corrupción " sheetId="23" r:id="rId5"/>
    <sheet name="Matriz Calor Inherente" sheetId="18" r:id="rId6"/>
    <sheet name="Matriz Calor Residual" sheetId="19" r:id="rId7"/>
    <sheet name="Tabla probabilidad" sheetId="12" r:id="rId8"/>
    <sheet name="Tabla Impacto" sheetId="13" r:id="rId9"/>
    <sheet name="Tabla Valoración controles" sheetId="15" r:id="rId10"/>
    <sheet name="Formulas" sheetId="24" state="hidden" r:id="rId11"/>
    <sheet name="Opciones Tratamiento" sheetId="16" state="hidden" r:id="rId12"/>
    <sheet name="Hoja1" sheetId="11" state="hidden" r:id="rId13"/>
  </sheets>
  <externalReferences>
    <externalReference r:id="rId14"/>
    <externalReference r:id="rId15"/>
    <externalReference r:id="rId16"/>
    <externalReference r:id="rId17"/>
  </externalReferences>
  <definedNames>
    <definedName name="A_Obj1" localSheetId="10">OFFSET(#REF!,0,0,COUNTA(#REF!)-1,1)</definedName>
    <definedName name="A_Obj1">OFFSET(#REF!,0,0,COUNTA(#REF!)-1,1)</definedName>
    <definedName name="A_Obj2" localSheetId="10">OFFSET(#REF!,0,0,COUNTA(#REF!)-1,1)</definedName>
    <definedName name="A_Obj2">OFFSET(#REF!,0,0,COUNTA(#REF!)-1,1)</definedName>
    <definedName name="A_Obj3" localSheetId="10">OFFSET(#REF!,0,0,COUNTA(#REF!)-1,1)</definedName>
    <definedName name="A_Obj3">OFFSET(#REF!,0,0,COUNTA(#REF!)-1,1)</definedName>
    <definedName name="A_Obj4" localSheetId="10">OFFSET(#REF!,0,0,COUNTA(#REF!)-1,1)</definedName>
    <definedName name="A_Obj4">OFFSET(#REF!,0,0,COUNTA(#REF!)-1,1)</definedName>
    <definedName name="Acc_1" localSheetId="10">#REF!</definedName>
    <definedName name="Acc_1">#REF!</definedName>
    <definedName name="Acc_2" localSheetId="10">#REF!</definedName>
    <definedName name="Acc_2">#REF!</definedName>
    <definedName name="Acc_3" localSheetId="10">#REF!</definedName>
    <definedName name="Acc_3">#REF!</definedName>
    <definedName name="Acc_4" localSheetId="10">#REF!</definedName>
    <definedName name="Acc_4">#REF!</definedName>
    <definedName name="Acc_5" localSheetId="10">#REF!</definedName>
    <definedName name="Acc_5">#REF!</definedName>
    <definedName name="Acc_6" localSheetId="10">#REF!</definedName>
    <definedName name="Acc_6">#REF!</definedName>
    <definedName name="Acc_7" localSheetId="10">#REF!</definedName>
    <definedName name="Acc_7">#REF!</definedName>
    <definedName name="Acc_8" localSheetId="10">#REF!</definedName>
    <definedName name="Acc_8">#REF!</definedName>
    <definedName name="Acc_9" localSheetId="10">#REF!</definedName>
    <definedName name="Acc_9">#REF!</definedName>
    <definedName name="Departamentos" localSheetId="10">#REF!</definedName>
    <definedName name="Departamentos">#REF!</definedName>
    <definedName name="Fuentes" localSheetId="10">#REF!</definedName>
    <definedName name="Fuentes">#REF!</definedName>
    <definedName name="Indicadores" localSheetId="10">#REF!</definedName>
    <definedName name="Indicadores">#REF!</definedName>
    <definedName name="Objetivos" localSheetId="10">OFFSET(#REF!,0,0,COUNTA(#REF!)-1,1)</definedName>
    <definedName name="Objetivos">OFFSET(#REF!,0,0,COUNTA(#REF!)-1,1)</definedName>
    <definedName name="Tipos">[1]TABLA!$G$2:$G$4</definedName>
  </definedNames>
  <calcPr calcId="191028"/>
  <pivotCaches>
    <pivotCache cacheId="0"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I21" i="25" l="1"/>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J10" i="25"/>
  <c r="K10" i="25" s="1"/>
  <c r="J11" i="25"/>
  <c r="K11" i="25" s="1"/>
  <c r="J12" i="25"/>
  <c r="K12" i="25" s="1"/>
  <c r="J13" i="25"/>
  <c r="K13" i="25" s="1"/>
  <c r="J37" i="25"/>
  <c r="K37" i="25" s="1"/>
  <c r="I37" i="25"/>
  <c r="J36" i="25"/>
  <c r="K36" i="25" s="1"/>
  <c r="I36" i="25"/>
  <c r="J35" i="25"/>
  <c r="K35" i="25" s="1"/>
  <c r="I35" i="25"/>
  <c r="J34" i="25"/>
  <c r="K34" i="25" s="1"/>
  <c r="I34" i="25"/>
  <c r="J33" i="25"/>
  <c r="K33" i="25" s="1"/>
  <c r="I33" i="25"/>
  <c r="J32" i="25"/>
  <c r="K32" i="25" s="1"/>
  <c r="I32" i="25"/>
  <c r="J31" i="25"/>
  <c r="K31" i="25" s="1"/>
  <c r="I31" i="25"/>
  <c r="J30" i="25"/>
  <c r="K30" i="25" s="1"/>
  <c r="I30" i="25"/>
  <c r="J29" i="25"/>
  <c r="K29" i="25" s="1"/>
  <c r="I29" i="25"/>
  <c r="J28" i="25"/>
  <c r="K28" i="25" s="1"/>
  <c r="I28" i="25"/>
  <c r="J27" i="25"/>
  <c r="K27" i="25" s="1"/>
  <c r="I27" i="25"/>
  <c r="J26" i="25"/>
  <c r="K26" i="25" s="1"/>
  <c r="I26" i="25"/>
  <c r="J25" i="25"/>
  <c r="K25" i="25" s="1"/>
  <c r="I25" i="25"/>
  <c r="J24" i="25"/>
  <c r="K24" i="25" s="1"/>
  <c r="I24" i="25"/>
  <c r="J23" i="25"/>
  <c r="K23" i="25" s="1"/>
  <c r="I23" i="25"/>
  <c r="J22" i="25"/>
  <c r="K22" i="25" s="1"/>
  <c r="I22" i="25"/>
  <c r="J21" i="25"/>
  <c r="K21" i="25" s="1"/>
  <c r="J20" i="25"/>
  <c r="K20" i="25" s="1"/>
  <c r="I20" i="25"/>
  <c r="J19" i="25"/>
  <c r="K19" i="25" s="1"/>
  <c r="I19" i="25"/>
  <c r="J18" i="25"/>
  <c r="K18" i="25" s="1"/>
  <c r="I18" i="25"/>
  <c r="J17" i="25"/>
  <c r="K17" i="25" s="1"/>
  <c r="I17" i="25"/>
  <c r="J16" i="25"/>
  <c r="K16" i="25" s="1"/>
  <c r="I16" i="25"/>
  <c r="J15" i="25"/>
  <c r="K15" i="25" s="1"/>
  <c r="I15" i="25"/>
  <c r="J14" i="25"/>
  <c r="K14" i="25" s="1"/>
  <c r="J9" i="25"/>
  <c r="K9" i="25" s="1"/>
  <c r="J8" i="25"/>
  <c r="K8" i="25" s="1"/>
  <c r="I8" i="25"/>
  <c r="G23" i="23" l="1"/>
  <c r="G12" i="23"/>
  <c r="AZ32" i="23" l="1"/>
  <c r="AY32" i="23"/>
  <c r="AX32" i="23"/>
  <c r="AW32" i="23"/>
  <c r="AV32" i="23"/>
  <c r="AU32" i="23"/>
  <c r="AT32" i="23"/>
  <c r="AZ31" i="23"/>
  <c r="AY31" i="23"/>
  <c r="AX31" i="23"/>
  <c r="AW31" i="23"/>
  <c r="AV31" i="23"/>
  <c r="AU31" i="23"/>
  <c r="AT31" i="23"/>
  <c r="AZ30" i="23"/>
  <c r="AY30" i="23"/>
  <c r="AX30" i="23"/>
  <c r="AW30" i="23"/>
  <c r="AV30" i="23"/>
  <c r="AU30" i="23"/>
  <c r="AT30" i="23"/>
  <c r="AZ29" i="23"/>
  <c r="AY29" i="23"/>
  <c r="AX29" i="23"/>
  <c r="AW29" i="23"/>
  <c r="AV29" i="23"/>
  <c r="AU29" i="23"/>
  <c r="AT29" i="23"/>
  <c r="AZ28" i="23"/>
  <c r="AY28" i="23"/>
  <c r="AX28" i="23"/>
  <c r="AW28" i="23"/>
  <c r="AV28" i="23"/>
  <c r="AU28" i="23"/>
  <c r="AT28" i="23"/>
  <c r="AZ27" i="23"/>
  <c r="AY27" i="23"/>
  <c r="AX27" i="23"/>
  <c r="AW27" i="23"/>
  <c r="AV27" i="23"/>
  <c r="AU27" i="23"/>
  <c r="AT27" i="23"/>
  <c r="AZ26" i="23"/>
  <c r="AY26" i="23"/>
  <c r="AX26" i="23"/>
  <c r="AW26" i="23"/>
  <c r="AV26" i="23"/>
  <c r="AU26" i="23"/>
  <c r="AT26" i="23"/>
  <c r="AZ25" i="23"/>
  <c r="AY25" i="23"/>
  <c r="AX25" i="23"/>
  <c r="AW25" i="23"/>
  <c r="AV25" i="23"/>
  <c r="AU25" i="23"/>
  <c r="AT25" i="23"/>
  <c r="AZ24" i="23"/>
  <c r="AY24" i="23"/>
  <c r="AX24" i="23"/>
  <c r="AW24" i="23"/>
  <c r="AV24" i="23"/>
  <c r="AU24" i="23"/>
  <c r="AT24" i="23"/>
  <c r="AZ23" i="23"/>
  <c r="AY23" i="23"/>
  <c r="AX23" i="23"/>
  <c r="AW23" i="23"/>
  <c r="AV23" i="23"/>
  <c r="AU23" i="23"/>
  <c r="AT23" i="23"/>
  <c r="AE23" i="23"/>
  <c r="BJ23" i="23" s="1"/>
  <c r="AC23" i="23"/>
  <c r="AF23" i="23" s="1"/>
  <c r="BL23" i="23" s="1"/>
  <c r="BM23" i="23" s="1"/>
  <c r="AZ21" i="23"/>
  <c r="AY21" i="23"/>
  <c r="AX21" i="23"/>
  <c r="AW21" i="23"/>
  <c r="AV21" i="23"/>
  <c r="AU21" i="23"/>
  <c r="AT21" i="23"/>
  <c r="AZ20" i="23"/>
  <c r="AY20" i="23"/>
  <c r="AX20" i="23"/>
  <c r="AW20" i="23"/>
  <c r="AV20" i="23"/>
  <c r="AU20" i="23"/>
  <c r="AT20" i="23"/>
  <c r="AZ19" i="23"/>
  <c r="AY19" i="23"/>
  <c r="AX19" i="23"/>
  <c r="AW19" i="23"/>
  <c r="AV19" i="23"/>
  <c r="AU19" i="23"/>
  <c r="AT19" i="23"/>
  <c r="AZ18" i="23"/>
  <c r="AY18" i="23"/>
  <c r="AX18" i="23"/>
  <c r="AW18" i="23"/>
  <c r="AV18" i="23"/>
  <c r="AU18" i="23"/>
  <c r="AT18" i="23"/>
  <c r="AZ17" i="23"/>
  <c r="AY17" i="23"/>
  <c r="AX17" i="23"/>
  <c r="AW17" i="23"/>
  <c r="AV17" i="23"/>
  <c r="AU17" i="23"/>
  <c r="AT17" i="23"/>
  <c r="AZ16" i="23"/>
  <c r="AY16" i="23"/>
  <c r="AX16" i="23"/>
  <c r="AW16" i="23"/>
  <c r="AV16" i="23"/>
  <c r="AU16" i="23"/>
  <c r="AT16" i="23"/>
  <c r="AZ15" i="23"/>
  <c r="AY15" i="23"/>
  <c r="AX15" i="23"/>
  <c r="AW15" i="23"/>
  <c r="AV15" i="23"/>
  <c r="AU15" i="23"/>
  <c r="AT15" i="23"/>
  <c r="AZ14" i="23"/>
  <c r="AY14" i="23"/>
  <c r="AX14" i="23"/>
  <c r="AW14" i="23"/>
  <c r="AV14" i="23"/>
  <c r="AU14" i="23"/>
  <c r="AT14" i="23"/>
  <c r="AZ13" i="23"/>
  <c r="AY13" i="23"/>
  <c r="AX13" i="23"/>
  <c r="AW13" i="23"/>
  <c r="AV13" i="23"/>
  <c r="AU13" i="23"/>
  <c r="AT13" i="23"/>
  <c r="AZ12" i="23"/>
  <c r="AY12" i="23"/>
  <c r="AX12" i="23"/>
  <c r="AW12" i="23"/>
  <c r="AV12" i="23"/>
  <c r="AU12" i="23"/>
  <c r="AT12" i="23"/>
  <c r="AE12" i="23"/>
  <c r="AC12" i="23"/>
  <c r="AF12" i="23" s="1"/>
  <c r="AG12" i="23" s="1"/>
  <c r="BJ12" i="23" l="1"/>
  <c r="BA31" i="23"/>
  <c r="BB31" i="23" s="1"/>
  <c r="BD31" i="23" s="1"/>
  <c r="BE31" i="23" s="1"/>
  <c r="BA16" i="23"/>
  <c r="BB16" i="23" s="1"/>
  <c r="BD16" i="23" s="1"/>
  <c r="BE16" i="23" s="1"/>
  <c r="BA19" i="23"/>
  <c r="BB19" i="23" s="1"/>
  <c r="BD19" i="23" s="1"/>
  <c r="BE19" i="23" s="1"/>
  <c r="BA25" i="23"/>
  <c r="BB25" i="23" s="1"/>
  <c r="BD25" i="23" s="1"/>
  <c r="BE25" i="23" s="1"/>
  <c r="BA27" i="23"/>
  <c r="BB27" i="23" s="1"/>
  <c r="BD27" i="23" s="1"/>
  <c r="BE27" i="23" s="1"/>
  <c r="BA26" i="23"/>
  <c r="BB26" i="23" s="1"/>
  <c r="BD26" i="23" s="1"/>
  <c r="BE26" i="23" s="1"/>
  <c r="BA20" i="23"/>
  <c r="BB20" i="23" s="1"/>
  <c r="BD20" i="23" s="1"/>
  <c r="BE20" i="23" s="1"/>
  <c r="AG23" i="23"/>
  <c r="AH23" i="23" s="1"/>
  <c r="BA29" i="23"/>
  <c r="BB29" i="23" s="1"/>
  <c r="BD29" i="23" s="1"/>
  <c r="BE29" i="23" s="1"/>
  <c r="BA13" i="23"/>
  <c r="BB13" i="23" s="1"/>
  <c r="BD13" i="23" s="1"/>
  <c r="BE13" i="23" s="1"/>
  <c r="BA12" i="23"/>
  <c r="BB12" i="23" s="1"/>
  <c r="BD12" i="23" s="1"/>
  <c r="BE12" i="23" s="1"/>
  <c r="BA15" i="23"/>
  <c r="BB15" i="23" s="1"/>
  <c r="BD15" i="23" s="1"/>
  <c r="BE15" i="23" s="1"/>
  <c r="BA21" i="23"/>
  <c r="BB21" i="23" s="1"/>
  <c r="BD21" i="23" s="1"/>
  <c r="BE21" i="23" s="1"/>
  <c r="BA30" i="23"/>
  <c r="BB30" i="23" s="1"/>
  <c r="BD30" i="23" s="1"/>
  <c r="BE30" i="23" s="1"/>
  <c r="BA17" i="23"/>
  <c r="BB17" i="23" s="1"/>
  <c r="BD17" i="23" s="1"/>
  <c r="BE17" i="23" s="1"/>
  <c r="BA23" i="23"/>
  <c r="BB23" i="23" s="1"/>
  <c r="BD23" i="23" s="1"/>
  <c r="BE23" i="23" s="1"/>
  <c r="AH12" i="23"/>
  <c r="BL12" i="23"/>
  <c r="BM12" i="23" s="1"/>
  <c r="AI23" i="23"/>
  <c r="BA24" i="23"/>
  <c r="BB24" i="23" s="1"/>
  <c r="BD24" i="23" s="1"/>
  <c r="BE24" i="23" s="1"/>
  <c r="BA28" i="23"/>
  <c r="BB28" i="23" s="1"/>
  <c r="BD28" i="23" s="1"/>
  <c r="BE28" i="23" s="1"/>
  <c r="BA32" i="23"/>
  <c r="BB32" i="23" s="1"/>
  <c r="BD32" i="23" s="1"/>
  <c r="BE32" i="23" s="1"/>
  <c r="BA14" i="23"/>
  <c r="BB14" i="23" s="1"/>
  <c r="BD14" i="23" s="1"/>
  <c r="BE14" i="23" s="1"/>
  <c r="BA18" i="23"/>
  <c r="BB18" i="23" s="1"/>
  <c r="BD18" i="23" s="1"/>
  <c r="BE18" i="23" s="1"/>
  <c r="U13" i="1"/>
  <c r="BF23" i="23" l="1"/>
  <c r="BG23" i="23" s="1"/>
  <c r="BH23" i="23" s="1"/>
  <c r="BI23" i="23" s="1"/>
  <c r="BK23" i="23" s="1"/>
  <c r="BN23" i="23" s="1"/>
  <c r="BF12" i="23"/>
  <c r="BG12" i="23" s="1"/>
  <c r="BH12" i="23" s="1"/>
  <c r="AI12" i="23"/>
  <c r="U18" i="1"/>
  <c r="R18" i="1"/>
  <c r="BI12" i="23" l="1"/>
  <c r="BK12" i="23" s="1"/>
  <c r="BO23" i="23"/>
  <c r="R13" i="1"/>
  <c r="H13" i="1"/>
  <c r="I13" i="1" s="1"/>
  <c r="K32" i="1"/>
  <c r="K63" i="1"/>
  <c r="K45" i="1"/>
  <c r="K22" i="1"/>
  <c r="K65" i="1"/>
  <c r="K72" i="1"/>
  <c r="K34" i="1"/>
  <c r="K64" i="1"/>
  <c r="K50" i="1"/>
  <c r="K56" i="1"/>
  <c r="K29" i="1"/>
  <c r="K23" i="1"/>
  <c r="K66" i="1"/>
  <c r="K52" i="1"/>
  <c r="K70" i="1"/>
  <c r="K71" i="1"/>
  <c r="K60" i="1"/>
  <c r="K40" i="1"/>
  <c r="K44" i="1"/>
  <c r="K48" i="1"/>
  <c r="K47" i="1"/>
  <c r="K46" i="1"/>
  <c r="K35" i="1"/>
  <c r="K21" i="1"/>
  <c r="K36" i="1"/>
  <c r="K28" i="1"/>
  <c r="K59" i="1"/>
  <c r="K51" i="1"/>
  <c r="K39" i="1"/>
  <c r="K54" i="1"/>
  <c r="K33" i="1"/>
  <c r="K57" i="1"/>
  <c r="K42" i="1"/>
  <c r="K30" i="1"/>
  <c r="K26" i="1"/>
  <c r="K24" i="1"/>
  <c r="K38" i="1"/>
  <c r="K41" i="1"/>
  <c r="K68" i="1"/>
  <c r="K58" i="1"/>
  <c r="K62" i="1"/>
  <c r="K20" i="1"/>
  <c r="K53" i="1"/>
  <c r="K27" i="1"/>
  <c r="K69" i="1"/>
  <c r="BN12" i="23" l="1"/>
  <c r="BO12" i="23"/>
  <c r="F221" i="13"/>
  <c r="F211" i="13"/>
  <c r="F212" i="13"/>
  <c r="F213" i="13"/>
  <c r="F214" i="13"/>
  <c r="F215" i="13"/>
  <c r="F216" i="13"/>
  <c r="F217" i="13"/>
  <c r="F218" i="13"/>
  <c r="F219" i="13"/>
  <c r="F220" i="13"/>
  <c r="F210" i="13"/>
  <c r="K16" i="1"/>
  <c r="B221" i="13" a="1"/>
  <c r="K17" i="1"/>
  <c r="K15" i="1"/>
  <c r="K14" i="1"/>
  <c r="B221" i="13" l="1"/>
  <c r="R55" i="1"/>
  <c r="R50" i="1"/>
  <c r="R44"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U72" i="1" l="1"/>
  <c r="R72" i="1"/>
  <c r="U71" i="1"/>
  <c r="R71" i="1"/>
  <c r="U70" i="1"/>
  <c r="R70" i="1"/>
  <c r="U69" i="1"/>
  <c r="R69" i="1"/>
  <c r="U68" i="1"/>
  <c r="R68" i="1"/>
  <c r="U67" i="1"/>
  <c r="R67" i="1"/>
  <c r="AC68" i="1" s="1"/>
  <c r="H67" i="1"/>
  <c r="I67" i="1" s="1"/>
  <c r="U66" i="1"/>
  <c r="R66" i="1"/>
  <c r="U65" i="1"/>
  <c r="R65" i="1"/>
  <c r="U64" i="1"/>
  <c r="R64" i="1"/>
  <c r="U63" i="1"/>
  <c r="R63" i="1"/>
  <c r="U62" i="1"/>
  <c r="R62" i="1"/>
  <c r="U61" i="1"/>
  <c r="R61" i="1"/>
  <c r="H61" i="1"/>
  <c r="I61" i="1" s="1"/>
  <c r="U60" i="1"/>
  <c r="R60" i="1"/>
  <c r="U59" i="1"/>
  <c r="R59" i="1"/>
  <c r="U58" i="1"/>
  <c r="R58" i="1"/>
  <c r="U57" i="1"/>
  <c r="R57" i="1"/>
  <c r="U56" i="1"/>
  <c r="R56" i="1"/>
  <c r="AC56" i="1" s="1"/>
  <c r="U55" i="1"/>
  <c r="H55" i="1"/>
  <c r="I55" i="1" s="1"/>
  <c r="U54" i="1"/>
  <c r="R54" i="1"/>
  <c r="U53" i="1"/>
  <c r="R53" i="1"/>
  <c r="U52" i="1"/>
  <c r="R52" i="1"/>
  <c r="U51" i="1"/>
  <c r="R51" i="1"/>
  <c r="U50" i="1"/>
  <c r="U49" i="1"/>
  <c r="R49" i="1"/>
  <c r="AC50" i="1" s="1"/>
  <c r="H49" i="1"/>
  <c r="I49" i="1" s="1"/>
  <c r="U48" i="1"/>
  <c r="R48" i="1"/>
  <c r="U47" i="1"/>
  <c r="R47" i="1"/>
  <c r="U46" i="1"/>
  <c r="R46" i="1"/>
  <c r="U45" i="1"/>
  <c r="R45" i="1"/>
  <c r="U44" i="1"/>
  <c r="U43" i="1"/>
  <c r="R43" i="1"/>
  <c r="AC44" i="1" s="1"/>
  <c r="H43" i="1"/>
  <c r="I43" i="1" s="1"/>
  <c r="U42" i="1"/>
  <c r="R42" i="1"/>
  <c r="U41" i="1"/>
  <c r="R41" i="1"/>
  <c r="U40" i="1"/>
  <c r="R40" i="1"/>
  <c r="U39" i="1"/>
  <c r="R39" i="1"/>
  <c r="U38" i="1"/>
  <c r="R38" i="1"/>
  <c r="U37" i="1"/>
  <c r="R37" i="1"/>
  <c r="H37" i="1"/>
  <c r="I37" i="1" s="1"/>
  <c r="U36" i="1"/>
  <c r="R36" i="1"/>
  <c r="U35" i="1"/>
  <c r="R35" i="1"/>
  <c r="U34" i="1"/>
  <c r="R34" i="1"/>
  <c r="U33" i="1"/>
  <c r="R33" i="1"/>
  <c r="U32" i="1"/>
  <c r="R32" i="1"/>
  <c r="U31" i="1"/>
  <c r="R31" i="1"/>
  <c r="H31" i="1"/>
  <c r="I31" i="1" s="1"/>
  <c r="U30" i="1"/>
  <c r="R30" i="1"/>
  <c r="U29" i="1"/>
  <c r="R29" i="1"/>
  <c r="U28" i="1"/>
  <c r="R28" i="1"/>
  <c r="U27" i="1"/>
  <c r="R27" i="1"/>
  <c r="U26" i="1"/>
  <c r="R26" i="1"/>
  <c r="U25" i="1"/>
  <c r="R25" i="1"/>
  <c r="AC26" i="1" s="1"/>
  <c r="H25" i="1"/>
  <c r="I25" i="1" s="1"/>
  <c r="H19" i="1"/>
  <c r="R17" i="1"/>
  <c r="R16" i="1"/>
  <c r="U24" i="1"/>
  <c r="R24" i="1"/>
  <c r="U23" i="1"/>
  <c r="R23" i="1"/>
  <c r="U22" i="1"/>
  <c r="R22" i="1"/>
  <c r="U21" i="1"/>
  <c r="R21" i="1"/>
  <c r="U20" i="1"/>
  <c r="R20" i="1"/>
  <c r="U19" i="1"/>
  <c r="R19" i="1"/>
  <c r="AC32" i="1" l="1"/>
  <c r="AC38" i="1"/>
  <c r="AC53" i="1"/>
  <c r="AB53" i="1" s="1"/>
  <c r="AC54" i="1"/>
  <c r="AB54" i="1" s="1"/>
  <c r="I19" i="1"/>
  <c r="Y19" i="1" s="1"/>
  <c r="Y67" i="1"/>
  <c r="Y61" i="1"/>
  <c r="Y55" i="1"/>
  <c r="Y49" i="1"/>
  <c r="Y53" i="1"/>
  <c r="Y54" i="1"/>
  <c r="Y43" i="1"/>
  <c r="Y37" i="1"/>
  <c r="Y31" i="1"/>
  <c r="Y25" i="1"/>
  <c r="Z67" i="1" l="1"/>
  <c r="AA67" i="1"/>
  <c r="Y68" i="1" s="1"/>
  <c r="Z68" i="1" s="1"/>
  <c r="Z61" i="1"/>
  <c r="AA61" i="1"/>
  <c r="Y62" i="1" s="1"/>
  <c r="AA62" i="1" s="1"/>
  <c r="Y63" i="1" s="1"/>
  <c r="Z55" i="1"/>
  <c r="AA55" i="1"/>
  <c r="Y56" i="1" s="1"/>
  <c r="AA56" i="1" s="1"/>
  <c r="Y57" i="1" s="1"/>
  <c r="Z54" i="1"/>
  <c r="AA54" i="1"/>
  <c r="Z53" i="1"/>
  <c r="AA53" i="1"/>
  <c r="Z49" i="1"/>
  <c r="AA49" i="1"/>
  <c r="Z43" i="1"/>
  <c r="AA43" i="1"/>
  <c r="Y44" i="1" s="1"/>
  <c r="AA44" i="1" s="1"/>
  <c r="Y45" i="1" s="1"/>
  <c r="Z37" i="1"/>
  <c r="AA37" i="1"/>
  <c r="Z31" i="1"/>
  <c r="AA31" i="1"/>
  <c r="Y32" i="1" s="1"/>
  <c r="AA32" i="1" s="1"/>
  <c r="Y33" i="1" s="1"/>
  <c r="Z33" i="1" s="1"/>
  <c r="Z25" i="1"/>
  <c r="AA25" i="1"/>
  <c r="Y26" i="1" s="1"/>
  <c r="Z26" i="1" s="1"/>
  <c r="Z19" i="1"/>
  <c r="AA19" i="1"/>
  <c r="Y20" i="1" s="1"/>
  <c r="Z62" i="1" l="1"/>
  <c r="Z56" i="1"/>
  <c r="AA26" i="1"/>
  <c r="Y27" i="1" s="1"/>
  <c r="Z27" i="1" s="1"/>
  <c r="Z44" i="1"/>
  <c r="Z32" i="1"/>
  <c r="Z45" i="1"/>
  <c r="AA45" i="1"/>
  <c r="AA63" i="1"/>
  <c r="Y64" i="1" s="1"/>
  <c r="Z63" i="1"/>
  <c r="AA57" i="1"/>
  <c r="Y58" i="1" s="1"/>
  <c r="Z57" i="1"/>
  <c r="AA68" i="1"/>
  <c r="Y69" i="1" s="1"/>
  <c r="Y38" i="1"/>
  <c r="Y50" i="1"/>
  <c r="Y51" i="1"/>
  <c r="AA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D53" i="1"/>
  <c r="AD54" i="1"/>
  <c r="U14" i="1"/>
  <c r="U15" i="1"/>
  <c r="U16" i="1"/>
  <c r="U17" i="1"/>
  <c r="Z64" i="1" l="1"/>
  <c r="AA64" i="1"/>
  <c r="Z58" i="1"/>
  <c r="AA58" i="1"/>
  <c r="Y59" i="1" s="1"/>
  <c r="AA27" i="1"/>
  <c r="Y28" i="1" s="1"/>
  <c r="AA28" i="1" s="1"/>
  <c r="Z51" i="1"/>
  <c r="AA51" i="1"/>
  <c r="Y52" i="1" s="1"/>
  <c r="Z69" i="1"/>
  <c r="AA69" i="1"/>
  <c r="Y70" i="1" s="1"/>
  <c r="Z50" i="1"/>
  <c r="AA50" i="1"/>
  <c r="Y46" i="1"/>
  <c r="Z38" i="1"/>
  <c r="AA38" i="1"/>
  <c r="Y39" i="1" s="1"/>
  <c r="Z39" i="1" s="1"/>
  <c r="Y35" i="1"/>
  <c r="Z35" i="1" s="1"/>
  <c r="Y34" i="1"/>
  <c r="Z20" i="1"/>
  <c r="AA20" i="1"/>
  <c r="Y21" i="1" s="1"/>
  <c r="Z21" i="1" s="1"/>
  <c r="AA39" i="1" l="1"/>
  <c r="Y40" i="1" s="1"/>
  <c r="AA40" i="1" s="1"/>
  <c r="Y41" i="1" s="1"/>
  <c r="Z59" i="1"/>
  <c r="AA59" i="1"/>
  <c r="Y60" i="1" s="1"/>
  <c r="Y65" i="1"/>
  <c r="Z28" i="1"/>
  <c r="Z46" i="1"/>
  <c r="AA46" i="1"/>
  <c r="Y47" i="1" s="1"/>
  <c r="Z47" i="1" s="1"/>
  <c r="Z52" i="1"/>
  <c r="AA52" i="1"/>
  <c r="Y29" i="1"/>
  <c r="AA70" i="1"/>
  <c r="Z70" i="1"/>
  <c r="Z34" i="1"/>
  <c r="AA34" i="1"/>
  <c r="AA35" i="1"/>
  <c r="Y36" i="1" s="1"/>
  <c r="AA21" i="1"/>
  <c r="Y22" i="1" s="1"/>
  <c r="Z22" i="1" s="1"/>
  <c r="R15" i="1"/>
  <c r="Z40" i="1" l="1"/>
  <c r="Z65" i="1"/>
  <c r="AA65" i="1"/>
  <c r="Y66" i="1" s="1"/>
  <c r="Z66" i="1" s="1"/>
  <c r="Z60" i="1"/>
  <c r="AA60" i="1"/>
  <c r="Y71" i="1"/>
  <c r="Y72" i="1"/>
  <c r="AA47" i="1"/>
  <c r="Y48" i="1" s="1"/>
  <c r="Z48" i="1" s="1"/>
  <c r="AA41" i="1"/>
  <c r="Y42" i="1" s="1"/>
  <c r="Z41" i="1"/>
  <c r="Z29" i="1"/>
  <c r="AA29" i="1"/>
  <c r="Y30" i="1" s="1"/>
  <c r="Z30" i="1" s="1"/>
  <c r="Z36" i="1"/>
  <c r="AA36" i="1"/>
  <c r="AA22" i="1"/>
  <c r="Y23" i="1" s="1"/>
  <c r="AA23" i="1" s="1"/>
  <c r="Y24" i="1" s="1"/>
  <c r="Y13" i="1"/>
  <c r="Z13" i="1" s="1"/>
  <c r="AA66" i="1" l="1"/>
  <c r="Z72" i="1"/>
  <c r="AA72" i="1"/>
  <c r="Z71" i="1"/>
  <c r="AA71" i="1"/>
  <c r="Z42" i="1"/>
  <c r="AA42" i="1"/>
  <c r="AA48" i="1"/>
  <c r="AA30" i="1"/>
  <c r="Z23" i="1"/>
  <c r="Z24" i="1"/>
  <c r="AA24" i="1"/>
  <c r="R14" i="1"/>
  <c r="AA13" i="1" l="1"/>
  <c r="Y14" i="1" s="1"/>
  <c r="Z14" i="1" l="1"/>
  <c r="AA14" i="1" l="1"/>
  <c r="Y15" i="1" s="1"/>
  <c r="Z15" i="1" s="1"/>
  <c r="AA15" i="1" l="1"/>
  <c r="Y16" i="1" s="1"/>
  <c r="AA16" i="1" l="1"/>
  <c r="Y17" i="1" s="1"/>
  <c r="Z17" i="1" l="1"/>
  <c r="AA17" i="1"/>
  <c r="Z16" i="1"/>
  <c r="Y18" i="1" l="1"/>
  <c r="AA18" i="1" l="1"/>
  <c r="Z18" i="1"/>
  <c r="AC31" i="1"/>
  <c r="AB31" i="1" s="1"/>
  <c r="AC69" i="1"/>
  <c r="AC43" i="1"/>
  <c r="AB43" i="1" s="1"/>
  <c r="AC55" i="1"/>
  <c r="AB55" i="1" s="1"/>
  <c r="AC25" i="1"/>
  <c r="AB25" i="1" s="1"/>
  <c r="AC49" i="1"/>
  <c r="AB49" i="1" s="1"/>
  <c r="AC37" i="1"/>
  <c r="AB37" i="1" s="1"/>
  <c r="J40" i="19" l="1"/>
  <c r="V30" i="19"/>
  <c r="AH20" i="19"/>
  <c r="J30" i="19"/>
  <c r="V20" i="19"/>
  <c r="AH10" i="19"/>
  <c r="P10" i="19"/>
  <c r="AB50" i="19"/>
  <c r="J50" i="19"/>
  <c r="AB40" i="19"/>
  <c r="P30" i="19"/>
  <c r="V50" i="19"/>
  <c r="P50" i="19"/>
  <c r="AB10" i="19"/>
  <c r="AH30" i="19"/>
  <c r="AH40" i="19"/>
  <c r="J10" i="19"/>
  <c r="AB20" i="19"/>
  <c r="AH50" i="19"/>
  <c r="AD37" i="1"/>
  <c r="V10" i="19"/>
  <c r="P20" i="19"/>
  <c r="J20" i="19"/>
  <c r="P40" i="19"/>
  <c r="V40" i="19"/>
  <c r="AB30" i="19"/>
  <c r="J11" i="19"/>
  <c r="V11" i="19"/>
  <c r="AB21" i="19"/>
  <c r="P31" i="19"/>
  <c r="J31" i="19"/>
  <c r="AB41" i="19"/>
  <c r="AD43" i="1"/>
  <c r="AH41" i="19"/>
  <c r="P41" i="19"/>
  <c r="J21" i="19"/>
  <c r="AB31" i="19"/>
  <c r="AB51" i="19"/>
  <c r="P21" i="19"/>
  <c r="V41" i="19"/>
  <c r="V31" i="19"/>
  <c r="AH21" i="19"/>
  <c r="AB11" i="19"/>
  <c r="P51" i="19"/>
  <c r="V21" i="19"/>
  <c r="AH31" i="19"/>
  <c r="V51" i="19"/>
  <c r="J51" i="19"/>
  <c r="AH51" i="19"/>
  <c r="AH11" i="19"/>
  <c r="J41" i="19"/>
  <c r="P11" i="19"/>
  <c r="AB26" i="1"/>
  <c r="AC27" i="1"/>
  <c r="AD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B68" i="1"/>
  <c r="AD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D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69" i="1"/>
  <c r="AC70" i="1"/>
  <c r="AC39" i="1"/>
  <c r="AB38" i="1"/>
  <c r="AB44" i="1"/>
  <c r="AC45" i="1"/>
  <c r="AB45" i="1" s="1"/>
  <c r="AC46" i="1"/>
  <c r="V32" i="19"/>
  <c r="P42" i="19"/>
  <c r="J12" i="19"/>
  <c r="J32" i="19"/>
  <c r="AB52" i="19"/>
  <c r="AD49" i="1"/>
  <c r="J22" i="19"/>
  <c r="V22" i="19"/>
  <c r="J52" i="19"/>
  <c r="AH12" i="19"/>
  <c r="J42" i="19"/>
  <c r="AH42" i="19"/>
  <c r="P32" i="19"/>
  <c r="AB12" i="19"/>
  <c r="AH32" i="19"/>
  <c r="AB32" i="19"/>
  <c r="AB42" i="19"/>
  <c r="V42" i="19"/>
  <c r="V12" i="19"/>
  <c r="V52" i="19"/>
  <c r="AB22" i="19"/>
  <c r="AH52" i="19"/>
  <c r="AH22" i="19"/>
  <c r="P22" i="19"/>
  <c r="P12" i="19"/>
  <c r="P52" i="19"/>
  <c r="AC51" i="1"/>
  <c r="AB51" i="1" s="1"/>
  <c r="AC52" i="1"/>
  <c r="AB52" i="1" s="1"/>
  <c r="AB50" i="1"/>
  <c r="AB56" i="1"/>
  <c r="AC57" i="1"/>
  <c r="AB32" i="1"/>
  <c r="AC33" i="1"/>
  <c r="AB70" i="1" l="1"/>
  <c r="AC71" i="1"/>
  <c r="K35" i="19"/>
  <c r="AC25" i="19"/>
  <c r="K45" i="19"/>
  <c r="AI45" i="19"/>
  <c r="W45" i="19"/>
  <c r="Q35" i="19"/>
  <c r="K55" i="19"/>
  <c r="AC15" i="19"/>
  <c r="Q15" i="19"/>
  <c r="AC35" i="19"/>
  <c r="AI35" i="19"/>
  <c r="Q55" i="19"/>
  <c r="AI25" i="19"/>
  <c r="AD68" i="1"/>
  <c r="AC55" i="19"/>
  <c r="W15" i="19"/>
  <c r="K15" i="19"/>
  <c r="W25" i="19"/>
  <c r="AC45" i="19"/>
  <c r="Q25" i="19"/>
  <c r="W55" i="19"/>
  <c r="K25" i="19"/>
  <c r="Q45" i="19"/>
  <c r="W35" i="19"/>
  <c r="AI55" i="19"/>
  <c r="AI15"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44" i="1"/>
  <c r="AD55" i="19"/>
  <c r="R15" i="19"/>
  <c r="AJ35" i="19"/>
  <c r="AD69"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D51" i="1"/>
  <c r="AD12" i="19"/>
  <c r="AD32" i="19"/>
  <c r="AD22" i="19"/>
  <c r="X52" i="19"/>
  <c r="AD52" i="19"/>
  <c r="L42" i="19"/>
  <c r="R42" i="19"/>
  <c r="AJ21" i="19"/>
  <c r="AD31" i="19"/>
  <c r="R21" i="19"/>
  <c r="AD41" i="19"/>
  <c r="AJ11" i="19"/>
  <c r="AJ51" i="19"/>
  <c r="AD45" i="1"/>
  <c r="L41" i="19"/>
  <c r="AD11" i="19"/>
  <c r="L21" i="19"/>
  <c r="L11" i="19"/>
  <c r="X51" i="19"/>
  <c r="X21" i="19"/>
  <c r="R11" i="19"/>
  <c r="R31" i="19"/>
  <c r="AJ41" i="19"/>
  <c r="L31" i="19"/>
  <c r="R51" i="19"/>
  <c r="X31" i="19"/>
  <c r="X11" i="19"/>
  <c r="X41" i="19"/>
  <c r="AJ31" i="19"/>
  <c r="AD51" i="19"/>
  <c r="R41" i="19"/>
  <c r="AD21" i="19"/>
  <c r="L51" i="19"/>
  <c r="AB33" i="1"/>
  <c r="AC34" i="1"/>
  <c r="AB57" i="1"/>
  <c r="AC58" i="1"/>
  <c r="K42" i="19"/>
  <c r="AC32" i="19"/>
  <c r="W42" i="19"/>
  <c r="AI52" i="19"/>
  <c r="K22" i="19"/>
  <c r="Q32" i="19"/>
  <c r="AI12" i="19"/>
  <c r="AC52" i="19"/>
  <c r="Q42" i="19"/>
  <c r="AC42" i="19"/>
  <c r="K12" i="19"/>
  <c r="Q22" i="19"/>
  <c r="W52" i="19"/>
  <c r="AI42" i="19"/>
  <c r="W32" i="19"/>
  <c r="AI22" i="19"/>
  <c r="W12" i="19"/>
  <c r="AI32" i="19"/>
  <c r="AC12" i="19"/>
  <c r="Q12" i="19"/>
  <c r="Q52" i="19"/>
  <c r="AD50" i="1"/>
  <c r="K32" i="19"/>
  <c r="W22" i="19"/>
  <c r="K52" i="19"/>
  <c r="AC22" i="19"/>
  <c r="AC40" i="19"/>
  <c r="W10" i="19"/>
  <c r="AC50" i="19"/>
  <c r="Q10" i="19"/>
  <c r="Q30" i="19"/>
  <c r="W50" i="19"/>
  <c r="K40" i="19"/>
  <c r="Q50" i="19"/>
  <c r="W20" i="19"/>
  <c r="AD38" i="1"/>
  <c r="K10" i="19"/>
  <c r="Q40" i="19"/>
  <c r="K30" i="19"/>
  <c r="AI50" i="19"/>
  <c r="AI20" i="19"/>
  <c r="K50" i="19"/>
  <c r="AI40" i="19"/>
  <c r="W40" i="19"/>
  <c r="K20" i="19"/>
  <c r="AC10" i="19"/>
  <c r="AI10" i="19"/>
  <c r="AC20" i="19"/>
  <c r="AI30" i="19"/>
  <c r="AC30" i="19"/>
  <c r="W30" i="19"/>
  <c r="Q20" i="19"/>
  <c r="AC28" i="1"/>
  <c r="AB27" i="1"/>
  <c r="K39" i="19"/>
  <c r="AC39" i="19"/>
  <c r="W29" i="19"/>
  <c r="AI49" i="19"/>
  <c r="W9" i="19"/>
  <c r="AC19" i="19"/>
  <c r="Q49" i="19"/>
  <c r="W49" i="19"/>
  <c r="AC9" i="19"/>
  <c r="AI9" i="19"/>
  <c r="Q29" i="19"/>
  <c r="W39" i="19"/>
  <c r="Q39" i="19"/>
  <c r="AD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D56" i="1"/>
  <c r="Q33" i="19"/>
  <c r="AI23" i="19"/>
  <c r="K53" i="19"/>
  <c r="AC23" i="19"/>
  <c r="AC13" i="19"/>
  <c r="W23" i="19"/>
  <c r="W33" i="19"/>
  <c r="Q13" i="19"/>
  <c r="W13" i="19"/>
  <c r="AI13" i="19"/>
  <c r="Q43" i="19"/>
  <c r="Q23" i="19"/>
  <c r="W53" i="19"/>
  <c r="M12" i="19"/>
  <c r="AK42" i="19"/>
  <c r="AE32" i="19"/>
  <c r="AD52" i="1"/>
  <c r="M52" i="19"/>
  <c r="S12" i="19"/>
  <c r="M32" i="19"/>
  <c r="S52" i="19"/>
  <c r="Y52" i="19"/>
  <c r="Y42" i="19"/>
  <c r="AK12" i="19"/>
  <c r="S22" i="19"/>
  <c r="AE12" i="19"/>
  <c r="Y22" i="19"/>
  <c r="S32" i="19"/>
  <c r="AK52" i="19"/>
  <c r="M22" i="19"/>
  <c r="AK32" i="19"/>
  <c r="AE22" i="19"/>
  <c r="AE42" i="19"/>
  <c r="Y32" i="19"/>
  <c r="M42" i="19"/>
  <c r="Y12" i="19"/>
  <c r="AE52" i="19"/>
  <c r="AK22" i="19"/>
  <c r="S42" i="19"/>
  <c r="AB46" i="1"/>
  <c r="AC48" i="1"/>
  <c r="AB48" i="1" s="1"/>
  <c r="AC47" i="1"/>
  <c r="AB47" i="1" s="1"/>
  <c r="AB39" i="1"/>
  <c r="AC40"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D26" i="1"/>
  <c r="R40" i="19" l="1"/>
  <c r="AD10" i="19"/>
  <c r="X40" i="19"/>
  <c r="AJ10" i="19"/>
  <c r="R50" i="19"/>
  <c r="X10" i="19"/>
  <c r="R30" i="19"/>
  <c r="AD39" i="1"/>
  <c r="L10" i="19"/>
  <c r="L50" i="19"/>
  <c r="AJ20" i="19"/>
  <c r="AJ40" i="19"/>
  <c r="AD30" i="19"/>
  <c r="R20" i="19"/>
  <c r="AD50" i="19"/>
  <c r="AJ30" i="19"/>
  <c r="AJ50" i="19"/>
  <c r="X30" i="19"/>
  <c r="AD20" i="19"/>
  <c r="L40" i="19"/>
  <c r="X50" i="19"/>
  <c r="X20" i="19"/>
  <c r="AD40" i="19"/>
  <c r="R10" i="19"/>
  <c r="L30" i="19"/>
  <c r="L20" i="19"/>
  <c r="AB58" i="1"/>
  <c r="AC59" i="1"/>
  <c r="AB71" i="1"/>
  <c r="AC72" i="1"/>
  <c r="AB72" i="1" s="1"/>
  <c r="AC29" i="1"/>
  <c r="AB29" i="1" s="1"/>
  <c r="AB28" i="1"/>
  <c r="AC30" i="1"/>
  <c r="AB30" i="1" s="1"/>
  <c r="AJ43" i="19"/>
  <c r="AD33" i="19"/>
  <c r="X33" i="19"/>
  <c r="X13" i="19"/>
  <c r="AD43" i="19"/>
  <c r="L43" i="19"/>
  <c r="AD57" i="1"/>
  <c r="X23" i="19"/>
  <c r="R33" i="19"/>
  <c r="R43" i="19"/>
  <c r="AD53" i="19"/>
  <c r="AJ13" i="19"/>
  <c r="R23" i="19"/>
  <c r="R13" i="19"/>
  <c r="AJ53" i="19"/>
  <c r="L33" i="19"/>
  <c r="L23" i="19"/>
  <c r="X43" i="19"/>
  <c r="X53" i="19"/>
  <c r="AD13" i="19"/>
  <c r="L53" i="19"/>
  <c r="L13" i="19"/>
  <c r="AD23" i="19"/>
  <c r="AJ33" i="19"/>
  <c r="AJ23" i="19"/>
  <c r="R53" i="19"/>
  <c r="M55" i="19"/>
  <c r="AK15" i="19"/>
  <c r="AE25" i="19"/>
  <c r="AD70"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D27"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D47" i="1"/>
  <c r="AL21" i="19"/>
  <c r="T41" i="19"/>
  <c r="AF41" i="19"/>
  <c r="O11" i="19"/>
  <c r="O21" i="19"/>
  <c r="O51" i="19"/>
  <c r="AA31" i="19"/>
  <c r="AM31" i="19"/>
  <c r="AG51" i="19"/>
  <c r="AA41" i="19"/>
  <c r="AM11" i="19"/>
  <c r="U21" i="19"/>
  <c r="AG41" i="19"/>
  <c r="AM21" i="19"/>
  <c r="AM51" i="19"/>
  <c r="O41" i="19"/>
  <c r="U11" i="19"/>
  <c r="AG31" i="19"/>
  <c r="U41" i="19"/>
  <c r="AD48" i="1"/>
  <c r="AG11" i="19"/>
  <c r="AM41" i="19"/>
  <c r="AA21" i="19"/>
  <c r="AA51" i="19"/>
  <c r="U51" i="19"/>
  <c r="U31" i="19"/>
  <c r="AA11" i="19"/>
  <c r="AG21" i="19"/>
  <c r="O31" i="19"/>
  <c r="AB34" i="1"/>
  <c r="AC35" i="1"/>
  <c r="AB35" i="1" s="1"/>
  <c r="AC36" i="1"/>
  <c r="AB36" i="1" s="1"/>
  <c r="AB40" i="1"/>
  <c r="AC41" i="1"/>
  <c r="AE11" i="19"/>
  <c r="Y41" i="19"/>
  <c r="M41" i="19"/>
  <c r="Y21" i="19"/>
  <c r="AK41" i="19"/>
  <c r="S31" i="19"/>
  <c r="M31" i="19"/>
  <c r="M51" i="19"/>
  <c r="Y51" i="19"/>
  <c r="AK21" i="19"/>
  <c r="AK31" i="19"/>
  <c r="Y11" i="19"/>
  <c r="AE41" i="19"/>
  <c r="AE21" i="19"/>
  <c r="S51" i="19"/>
  <c r="AE51" i="19"/>
  <c r="AK51" i="19"/>
  <c r="M21" i="19"/>
  <c r="AE31" i="19"/>
  <c r="AD46" i="1"/>
  <c r="S41" i="19"/>
  <c r="AK11" i="19"/>
  <c r="S11" i="19"/>
  <c r="Y31" i="19"/>
  <c r="S21" i="19"/>
  <c r="M11" i="19"/>
  <c r="AD29" i="19"/>
  <c r="AD19" i="19"/>
  <c r="R39" i="19"/>
  <c r="R9" i="19"/>
  <c r="X49" i="19"/>
  <c r="X9" i="19"/>
  <c r="AD39" i="19"/>
  <c r="R29" i="19"/>
  <c r="L49" i="19"/>
  <c r="X19" i="19"/>
  <c r="X29" i="19"/>
  <c r="X39" i="19"/>
  <c r="L9" i="19"/>
  <c r="AD33" i="1"/>
  <c r="AD9" i="19"/>
  <c r="AJ49" i="19"/>
  <c r="L39" i="19"/>
  <c r="R19" i="19"/>
  <c r="AJ39" i="19"/>
  <c r="AJ29" i="19"/>
  <c r="AJ19" i="19"/>
  <c r="AJ9" i="19"/>
  <c r="AD49" i="19"/>
  <c r="L19" i="19"/>
  <c r="L29" i="19"/>
  <c r="R49" i="19"/>
  <c r="AB41" i="1" l="1"/>
  <c r="AC42" i="1"/>
  <c r="AB42" i="1" s="1"/>
  <c r="AG39" i="19"/>
  <c r="AG29" i="19"/>
  <c r="AM19" i="19"/>
  <c r="O39" i="19"/>
  <c r="AD36" i="1"/>
  <c r="AG49" i="19"/>
  <c r="O29" i="19"/>
  <c r="U29" i="19"/>
  <c r="O49" i="19"/>
  <c r="U49" i="19"/>
  <c r="AA19" i="19"/>
  <c r="U39" i="19"/>
  <c r="AG9" i="19"/>
  <c r="AA39" i="19"/>
  <c r="AM49" i="19"/>
  <c r="O19" i="19"/>
  <c r="AM39" i="19"/>
  <c r="AM29" i="19"/>
  <c r="O9" i="19"/>
  <c r="AM9" i="19"/>
  <c r="AA49" i="19"/>
  <c r="AG19" i="19"/>
  <c r="U9" i="19"/>
  <c r="U19" i="19"/>
  <c r="AA9" i="19"/>
  <c r="AA29" i="19"/>
  <c r="M48" i="19"/>
  <c r="S48" i="19"/>
  <c r="AE8" i="19"/>
  <c r="AE38" i="19"/>
  <c r="M38" i="19"/>
  <c r="AE18" i="19"/>
  <c r="AK48" i="19"/>
  <c r="AK18" i="19"/>
  <c r="AK28" i="19"/>
  <c r="S28" i="19"/>
  <c r="Y48" i="19"/>
  <c r="M8" i="19"/>
  <c r="Y8" i="19"/>
  <c r="M28" i="19"/>
  <c r="AK38" i="19"/>
  <c r="M18" i="19"/>
  <c r="Y28" i="19"/>
  <c r="S38" i="19"/>
  <c r="AE48" i="19"/>
  <c r="Y18" i="19"/>
  <c r="AK8" i="19"/>
  <c r="Y38" i="19"/>
  <c r="S8" i="19"/>
  <c r="S18" i="19"/>
  <c r="AD28" i="1"/>
  <c r="AE28" i="19"/>
  <c r="AA55" i="19"/>
  <c r="O45" i="19"/>
  <c r="AA15" i="19"/>
  <c r="AM55" i="19"/>
  <c r="O55" i="19"/>
  <c r="AG35" i="19"/>
  <c r="AM25" i="19"/>
  <c r="AM35" i="19"/>
  <c r="AA25" i="19"/>
  <c r="AM45" i="19"/>
  <c r="AG25" i="19"/>
  <c r="AA35" i="19"/>
  <c r="O25" i="19"/>
  <c r="U25" i="19"/>
  <c r="AG45" i="19"/>
  <c r="U35" i="19"/>
  <c r="AA45" i="19"/>
  <c r="AM15" i="19"/>
  <c r="U45" i="19"/>
  <c r="O35" i="19"/>
  <c r="O15" i="19"/>
  <c r="AD72" i="1"/>
  <c r="AG15" i="19"/>
  <c r="U15" i="19"/>
  <c r="AG55" i="19"/>
  <c r="U55" i="19"/>
  <c r="AE40" i="19"/>
  <c r="Y30" i="19"/>
  <c r="M20" i="19"/>
  <c r="AD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D35" i="1"/>
  <c r="T19" i="19"/>
  <c r="AL49" i="19"/>
  <c r="T29" i="19"/>
  <c r="AF29" i="19"/>
  <c r="T18" i="19"/>
  <c r="N48" i="19"/>
  <c r="N8" i="19"/>
  <c r="T28" i="19"/>
  <c r="AF38" i="19"/>
  <c r="Z28" i="19"/>
  <c r="Z18" i="19"/>
  <c r="AF8" i="19"/>
  <c r="AD29"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D71"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D34" i="1"/>
  <c r="M9" i="19"/>
  <c r="Y29" i="19"/>
  <c r="AB59" i="1"/>
  <c r="AC60" i="1"/>
  <c r="AB60" i="1" s="1"/>
  <c r="O8" i="19"/>
  <c r="AA48" i="19"/>
  <c r="AM38" i="19"/>
  <c r="U48" i="19"/>
  <c r="AA18" i="19"/>
  <c r="AG18" i="19"/>
  <c r="AG48" i="19"/>
  <c r="AM18" i="19"/>
  <c r="AA28" i="19"/>
  <c r="AG28" i="19"/>
  <c r="AA8" i="19"/>
  <c r="U18" i="19"/>
  <c r="AG38" i="19"/>
  <c r="U38" i="19"/>
  <c r="AM8" i="19"/>
  <c r="AA38" i="19"/>
  <c r="AM48" i="19"/>
  <c r="U28" i="19"/>
  <c r="O38" i="19"/>
  <c r="U8" i="19"/>
  <c r="AG8" i="19"/>
  <c r="AD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D58" i="1"/>
  <c r="M33" i="19"/>
  <c r="U43" i="19" l="1"/>
  <c r="U13" i="19"/>
  <c r="AM53" i="19"/>
  <c r="AA53" i="19"/>
  <c r="AA43" i="19"/>
  <c r="O53" i="19"/>
  <c r="O23" i="19"/>
  <c r="O13" i="19"/>
  <c r="AG43" i="19"/>
  <c r="U33" i="19"/>
  <c r="U23" i="19"/>
  <c r="AM13" i="19"/>
  <c r="AM23" i="19"/>
  <c r="AG13" i="19"/>
  <c r="AA23" i="19"/>
  <c r="AG33" i="19"/>
  <c r="AA33" i="19"/>
  <c r="AM33" i="19"/>
  <c r="AA13" i="19"/>
  <c r="AD60" i="1"/>
  <c r="AG23" i="19"/>
  <c r="U53" i="19"/>
  <c r="AG53" i="19"/>
  <c r="O43" i="19"/>
  <c r="AM43" i="19"/>
  <c r="O33" i="19"/>
  <c r="AF53" i="19"/>
  <c r="T43" i="19"/>
  <c r="Z53" i="19"/>
  <c r="N43" i="19"/>
  <c r="T23" i="19"/>
  <c r="AF43" i="19"/>
  <c r="Z13" i="19"/>
  <c r="Z43" i="19"/>
  <c r="AF23" i="19"/>
  <c r="AL13" i="19"/>
  <c r="Z23" i="19"/>
  <c r="AL43" i="19"/>
  <c r="AF13" i="19"/>
  <c r="AL23" i="19"/>
  <c r="N13" i="19"/>
  <c r="T33" i="19"/>
  <c r="AL53" i="19"/>
  <c r="N23" i="19"/>
  <c r="N53" i="19"/>
  <c r="AF33" i="19"/>
  <c r="N33" i="19"/>
  <c r="AD59" i="1"/>
  <c r="T53" i="19"/>
  <c r="AL33" i="19"/>
  <c r="T13" i="19"/>
  <c r="Z33" i="19"/>
  <c r="O20" i="19"/>
  <c r="AM40" i="19"/>
  <c r="O30" i="19"/>
  <c r="AM50" i="19"/>
  <c r="AA50" i="19"/>
  <c r="AM30" i="19"/>
  <c r="AM10" i="19"/>
  <c r="AM20" i="19"/>
  <c r="O50" i="19"/>
  <c r="U30" i="19"/>
  <c r="AA10" i="19"/>
  <c r="U40" i="19"/>
  <c r="O40" i="19"/>
  <c r="U20" i="19"/>
  <c r="AD42" i="1"/>
  <c r="AG40" i="19"/>
  <c r="AG50" i="19"/>
  <c r="U50" i="19"/>
  <c r="AA30" i="19"/>
  <c r="AG10" i="19"/>
  <c r="AA40" i="19"/>
  <c r="AG20" i="19"/>
  <c r="AA20" i="19"/>
  <c r="U10" i="19"/>
  <c r="AG30" i="19"/>
  <c r="O10" i="19"/>
  <c r="Z40" i="19"/>
  <c r="AD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3" i="1" l="1"/>
  <c r="L43" i="1" s="1"/>
  <c r="K13" i="1"/>
  <c r="L13" i="1" s="1"/>
  <c r="K31" i="1"/>
  <c r="L31" i="1" s="1"/>
  <c r="K25" i="1"/>
  <c r="L25" i="1" s="1"/>
  <c r="K55" i="1"/>
  <c r="L55" i="1" s="1"/>
  <c r="K49" i="1"/>
  <c r="L49" i="1" s="1"/>
  <c r="K37" i="1"/>
  <c r="L37" i="1" s="1"/>
  <c r="K19" i="1"/>
  <c r="L19" i="1" s="1"/>
  <c r="K67" i="1"/>
  <c r="L67" i="1" s="1"/>
  <c r="K61" i="1"/>
  <c r="L61" i="1" s="1"/>
  <c r="X6" i="18" l="1"/>
  <c r="AJ30" i="18"/>
  <c r="R22" i="18"/>
  <c r="L6" i="18"/>
  <c r="R30" i="18"/>
  <c r="X22" i="18"/>
  <c r="X38" i="18"/>
  <c r="AD38" i="18"/>
  <c r="N19" i="1"/>
  <c r="AD22" i="18"/>
  <c r="M19" i="1"/>
  <c r="AC19"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7" i="1"/>
  <c r="L32" i="18"/>
  <c r="X8" i="18"/>
  <c r="X24" i="18"/>
  <c r="AJ8" i="18"/>
  <c r="M37" i="1"/>
  <c r="R40" i="18"/>
  <c r="L40" i="18"/>
  <c r="X16" i="18"/>
  <c r="L24" i="18"/>
  <c r="AJ24" i="18"/>
  <c r="X32" i="18"/>
  <c r="AJ40" i="18"/>
  <c r="R16" i="18"/>
  <c r="AD40" i="18"/>
  <c r="AD32" i="18"/>
  <c r="AD16" i="18"/>
  <c r="M49" i="1"/>
  <c r="J42" i="18"/>
  <c r="P34" i="18"/>
  <c r="AB18" i="18"/>
  <c r="AB42" i="18"/>
  <c r="AH34" i="18"/>
  <c r="P10" i="18"/>
  <c r="V34" i="18"/>
  <c r="P42" i="18"/>
  <c r="V42" i="18"/>
  <c r="AH42" i="18"/>
  <c r="AB26" i="18"/>
  <c r="AH26" i="18"/>
  <c r="V26" i="18"/>
  <c r="AB34" i="18"/>
  <c r="V10" i="18"/>
  <c r="AH18" i="18"/>
  <c r="J34" i="18"/>
  <c r="J10" i="18"/>
  <c r="AB10" i="18"/>
  <c r="J18" i="18"/>
  <c r="N49" i="1"/>
  <c r="P26" i="18"/>
  <c r="J26" i="18"/>
  <c r="AH10" i="18"/>
  <c r="P18" i="18"/>
  <c r="V18" i="18"/>
  <c r="X42" i="18"/>
  <c r="AD34" i="18"/>
  <c r="AD10" i="18"/>
  <c r="AD26" i="18"/>
  <c r="L10" i="18"/>
  <c r="L42" i="18"/>
  <c r="L26" i="18"/>
  <c r="X18" i="18"/>
  <c r="X34" i="18"/>
  <c r="X10" i="18"/>
  <c r="R18" i="18"/>
  <c r="AJ10" i="18"/>
  <c r="AD42" i="18"/>
  <c r="AJ34" i="18"/>
  <c r="R26" i="18"/>
  <c r="M55" i="1"/>
  <c r="L18" i="18"/>
  <c r="AJ26" i="18"/>
  <c r="AD18" i="18"/>
  <c r="R34" i="18"/>
  <c r="L34" i="18"/>
  <c r="AJ42" i="18"/>
  <c r="R10" i="18"/>
  <c r="R42" i="18"/>
  <c r="X26" i="18"/>
  <c r="AJ18" i="18"/>
  <c r="N55" i="1"/>
  <c r="T14" i="18"/>
  <c r="AL38" i="18"/>
  <c r="N14" i="18"/>
  <c r="Z6" i="18"/>
  <c r="T38" i="18"/>
  <c r="T22" i="18"/>
  <c r="AL14" i="18"/>
  <c r="N22" i="18"/>
  <c r="N25" i="1"/>
  <c r="AF22" i="18"/>
  <c r="N6" i="18"/>
  <c r="AF6" i="18"/>
  <c r="AF38" i="18"/>
  <c r="M25" i="1"/>
  <c r="N38" i="18"/>
  <c r="AL30" i="18"/>
  <c r="AL22" i="18"/>
  <c r="T6" i="18"/>
  <c r="AF14" i="18"/>
  <c r="AF30" i="18"/>
  <c r="Z22" i="18"/>
  <c r="T30" i="18"/>
  <c r="Z30" i="18"/>
  <c r="AL6" i="18"/>
  <c r="Z14" i="18"/>
  <c r="Z38" i="18"/>
  <c r="N30" i="18"/>
  <c r="J40" i="18"/>
  <c r="AB40" i="18"/>
  <c r="AH32" i="18"/>
  <c r="AB24" i="18"/>
  <c r="V16" i="18"/>
  <c r="M31" i="1"/>
  <c r="J16" i="18"/>
  <c r="P32" i="18"/>
  <c r="V24" i="18"/>
  <c r="P24" i="18"/>
  <c r="V40" i="18"/>
  <c r="P16" i="18"/>
  <c r="P40" i="18"/>
  <c r="V32" i="18"/>
  <c r="AH16" i="18"/>
  <c r="AB16" i="18"/>
  <c r="V8" i="18"/>
  <c r="AH24" i="18"/>
  <c r="AH8" i="18"/>
  <c r="AH40" i="18"/>
  <c r="J8" i="18"/>
  <c r="AB32" i="18"/>
  <c r="AB8" i="18"/>
  <c r="J24" i="18"/>
  <c r="J32" i="18"/>
  <c r="P8" i="18"/>
  <c r="N31" i="1"/>
  <c r="Z42" i="18"/>
  <c r="T18" i="18"/>
  <c r="AF34" i="18"/>
  <c r="AF42" i="18"/>
  <c r="N42" i="18"/>
  <c r="Z18" i="18"/>
  <c r="AL10" i="18"/>
  <c r="AL26" i="18"/>
  <c r="AF26" i="18"/>
  <c r="Z10" i="18"/>
  <c r="N18" i="18"/>
  <c r="T26" i="18"/>
  <c r="AF10" i="18"/>
  <c r="T34" i="18"/>
  <c r="N26" i="18"/>
  <c r="AL18" i="18"/>
  <c r="N10" i="18"/>
  <c r="AF18" i="18"/>
  <c r="Z26" i="18"/>
  <c r="AL34" i="18"/>
  <c r="M61" i="1"/>
  <c r="AC61" i="1" s="1"/>
  <c r="Z34" i="18"/>
  <c r="T10" i="18"/>
  <c r="N61" i="1"/>
  <c r="AL42" i="18"/>
  <c r="N34" i="18"/>
  <c r="T42" i="18"/>
  <c r="P14" i="18"/>
  <c r="V22" i="18"/>
  <c r="V14" i="18"/>
  <c r="P22" i="18"/>
  <c r="V38" i="18"/>
  <c r="AH14" i="18"/>
  <c r="AH38" i="18"/>
  <c r="J14" i="18"/>
  <c r="AB22" i="18"/>
  <c r="V30" i="18"/>
  <c r="AB14" i="18"/>
  <c r="AB38" i="18"/>
  <c r="J30" i="18"/>
  <c r="P38" i="18"/>
  <c r="AB6" i="18"/>
  <c r="M13" i="1"/>
  <c r="AC13" i="1" s="1"/>
  <c r="AH30" i="18"/>
  <c r="J38" i="18"/>
  <c r="AH6" i="18"/>
  <c r="V6" i="18"/>
  <c r="AB30" i="18"/>
  <c r="J22" i="18"/>
  <c r="J6" i="18"/>
  <c r="P30" i="18"/>
  <c r="AH22" i="18"/>
  <c r="P6" i="18"/>
  <c r="N13" i="1"/>
  <c r="AH12" i="18"/>
  <c r="J20" i="18"/>
  <c r="J44" i="18"/>
  <c r="AB28" i="18"/>
  <c r="P28" i="18"/>
  <c r="N67" i="1"/>
  <c r="P12" i="18"/>
  <c r="AH20" i="18"/>
  <c r="P44" i="18"/>
  <c r="AB12" i="18"/>
  <c r="P20" i="18"/>
  <c r="J36" i="18"/>
  <c r="P36" i="18"/>
  <c r="AB44" i="18"/>
  <c r="V44" i="18"/>
  <c r="J28" i="18"/>
  <c r="AH36" i="18"/>
  <c r="V12" i="18"/>
  <c r="V28" i="18"/>
  <c r="AH44" i="18"/>
  <c r="AB20" i="18"/>
  <c r="AB36" i="18"/>
  <c r="AH28" i="18"/>
  <c r="V36" i="18"/>
  <c r="V20" i="18"/>
  <c r="M67" i="1"/>
  <c r="AC67" i="1" s="1"/>
  <c r="AB67" i="1" s="1"/>
  <c r="J12" i="18"/>
  <c r="AF24" i="18"/>
  <c r="AF32" i="18"/>
  <c r="T40" i="18"/>
  <c r="M43" i="1"/>
  <c r="Z40" i="18"/>
  <c r="AL8" i="18"/>
  <c r="AF8" i="18"/>
  <c r="T8" i="18"/>
  <c r="Z16" i="18"/>
  <c r="T24" i="18"/>
  <c r="AL24" i="18"/>
  <c r="Z32" i="18"/>
  <c r="N32" i="18"/>
  <c r="N16" i="18"/>
  <c r="Z8" i="18"/>
  <c r="AL40" i="18"/>
  <c r="N8" i="18"/>
  <c r="N24" i="18"/>
  <c r="T32" i="18"/>
  <c r="T16" i="18"/>
  <c r="AF40" i="18"/>
  <c r="AF16" i="18"/>
  <c r="AL32" i="18"/>
  <c r="N40" i="18"/>
  <c r="Z24" i="18"/>
  <c r="AL16" i="18"/>
  <c r="N43" i="1"/>
  <c r="AB61" i="1" l="1"/>
  <c r="AB34" i="19" s="1"/>
  <c r="AC62" i="1"/>
  <c r="AB19" i="1"/>
  <c r="AB47" i="19" s="1"/>
  <c r="AC20" i="1"/>
  <c r="AB13" i="1"/>
  <c r="P16" i="19" s="1"/>
  <c r="AC14" i="1"/>
  <c r="V25" i="19"/>
  <c r="V45" i="19"/>
  <c r="J15" i="19"/>
  <c r="AB45" i="19"/>
  <c r="AH25" i="19"/>
  <c r="AH55" i="19"/>
  <c r="AB15" i="19"/>
  <c r="P15" i="19"/>
  <c r="P45" i="19"/>
  <c r="V15" i="19"/>
  <c r="J35" i="19"/>
  <c r="AH45" i="19"/>
  <c r="J25" i="19"/>
  <c r="AB35" i="19"/>
  <c r="AH15" i="19"/>
  <c r="V35" i="19"/>
  <c r="J55" i="19"/>
  <c r="AB55" i="19"/>
  <c r="AD67" i="1"/>
  <c r="AB25" i="19"/>
  <c r="AH35" i="19"/>
  <c r="P55" i="19"/>
  <c r="J45" i="19"/>
  <c r="P25" i="19"/>
  <c r="P35" i="19"/>
  <c r="V55" i="19"/>
  <c r="V44" i="19" l="1"/>
  <c r="V54" i="19"/>
  <c r="AH14" i="19"/>
  <c r="P54" i="19"/>
  <c r="J34" i="19"/>
  <c r="AB62" i="1"/>
  <c r="W14" i="19" s="1"/>
  <c r="AC63" i="1"/>
  <c r="P37" i="19"/>
  <c r="J14" i="19"/>
  <c r="J24" i="19"/>
  <c r="AB44" i="19"/>
  <c r="V14" i="19"/>
  <c r="AH47" i="19"/>
  <c r="AH34" i="19"/>
  <c r="P14" i="19"/>
  <c r="AD61" i="1"/>
  <c r="AB27" i="19"/>
  <c r="AB14" i="19"/>
  <c r="J54" i="19"/>
  <c r="P24" i="19"/>
  <c r="P34" i="19"/>
  <c r="P44" i="19"/>
  <c r="AB24" i="19"/>
  <c r="V34" i="19"/>
  <c r="AH24" i="19"/>
  <c r="V24" i="19"/>
  <c r="J44" i="19"/>
  <c r="AH54" i="19"/>
  <c r="P27" i="19"/>
  <c r="AB54" i="19"/>
  <c r="AH44" i="19"/>
  <c r="AI54" i="19"/>
  <c r="W34" i="19"/>
  <c r="W24" i="19"/>
  <c r="AI24" i="19"/>
  <c r="Q44" i="19"/>
  <c r="K34" i="19"/>
  <c r="Q14" i="19"/>
  <c r="AH17" i="19"/>
  <c r="AB7" i="19"/>
  <c r="AB17" i="19"/>
  <c r="AB37" i="19"/>
  <c r="V47" i="19"/>
  <c r="V7" i="19"/>
  <c r="V27" i="19"/>
  <c r="V37" i="19"/>
  <c r="P47" i="19"/>
  <c r="AH27" i="19"/>
  <c r="V17" i="19"/>
  <c r="P7" i="19"/>
  <c r="J17" i="19"/>
  <c r="J27" i="19"/>
  <c r="AD19" i="1"/>
  <c r="P17" i="19"/>
  <c r="J7" i="19"/>
  <c r="AH7" i="19"/>
  <c r="J47" i="19"/>
  <c r="J37" i="19"/>
  <c r="AH37" i="19"/>
  <c r="AC21" i="1"/>
  <c r="AB20" i="1"/>
  <c r="V36" i="19"/>
  <c r="AB36" i="19"/>
  <c r="AH16" i="19"/>
  <c r="J46" i="19"/>
  <c r="P36" i="19"/>
  <c r="AB6" i="19"/>
  <c r="AD13" i="1"/>
  <c r="J26" i="19"/>
  <c r="V16" i="19"/>
  <c r="J36" i="19"/>
  <c r="P26" i="19"/>
  <c r="AH36" i="19"/>
  <c r="AH26" i="19"/>
  <c r="AB16" i="19"/>
  <c r="AB26" i="19"/>
  <c r="AB14" i="1"/>
  <c r="AC36" i="19" s="1"/>
  <c r="AC15" i="1"/>
  <c r="P46" i="19"/>
  <c r="AB46" i="19"/>
  <c r="J6" i="19"/>
  <c r="V26" i="19"/>
  <c r="AH46" i="19"/>
  <c r="V6" i="19"/>
  <c r="J16" i="19"/>
  <c r="V46" i="19"/>
  <c r="AH6" i="19"/>
  <c r="P6" i="19"/>
  <c r="K54" i="19" l="1"/>
  <c r="AI14" i="19"/>
  <c r="AC14" i="19"/>
  <c r="Q34" i="19"/>
  <c r="AC34" i="19"/>
  <c r="W54" i="19"/>
  <c r="AC24" i="19"/>
  <c r="AC54" i="19"/>
  <c r="W44" i="19"/>
  <c r="K44" i="19"/>
  <c r="AI34" i="19"/>
  <c r="AC44" i="19"/>
  <c r="K24" i="19"/>
  <c r="Q54" i="19"/>
  <c r="K14" i="19"/>
  <c r="Q24" i="19"/>
  <c r="AI44" i="19"/>
  <c r="AD62" i="1"/>
  <c r="AB63" i="1"/>
  <c r="R14" i="19" s="1"/>
  <c r="AC64" i="1"/>
  <c r="AI17" i="19"/>
  <c r="AD20" i="1"/>
  <c r="K27" i="19"/>
  <c r="K47" i="19"/>
  <c r="AC17" i="19"/>
  <c r="K17" i="19"/>
  <c r="W37" i="19"/>
  <c r="AI47" i="19"/>
  <c r="K37" i="19"/>
  <c r="K7" i="19"/>
  <c r="AI7" i="19"/>
  <c r="Q27" i="19"/>
  <c r="AC7" i="19"/>
  <c r="Q17" i="19"/>
  <c r="W17" i="19"/>
  <c r="AC27" i="19"/>
  <c r="W47" i="19"/>
  <c r="W27" i="19"/>
  <c r="AC47" i="19"/>
  <c r="Q37" i="19"/>
  <c r="Q47" i="19"/>
  <c r="AC37" i="19"/>
  <c r="AI27" i="19"/>
  <c r="W7" i="19"/>
  <c r="AI37" i="19"/>
  <c r="Q7" i="19"/>
  <c r="AC22" i="1"/>
  <c r="AB21" i="1"/>
  <c r="AI6" i="19"/>
  <c r="AC16" i="19"/>
  <c r="AI36" i="19"/>
  <c r="Q46" i="19"/>
  <c r="AI26" i="19"/>
  <c r="W46" i="19"/>
  <c r="K26" i="19"/>
  <c r="Q6" i="19"/>
  <c r="AC46" i="19"/>
  <c r="K6" i="19"/>
  <c r="W26" i="19"/>
  <c r="AD14" i="1"/>
  <c r="K46" i="19"/>
  <c r="Q16" i="19"/>
  <c r="AC26" i="19"/>
  <c r="W6" i="19"/>
  <c r="Q26" i="19"/>
  <c r="Q36" i="19"/>
  <c r="K36" i="19"/>
  <c r="AC6" i="19"/>
  <c r="AI16" i="19"/>
  <c r="W16" i="19"/>
  <c r="AB15" i="1"/>
  <c r="X26" i="19" s="1"/>
  <c r="AC16" i="1"/>
  <c r="AI46" i="19"/>
  <c r="W36" i="19"/>
  <c r="K16" i="19"/>
  <c r="X54" i="19" l="1"/>
  <c r="L24" i="19"/>
  <c r="L34" i="19"/>
  <c r="AJ54" i="19"/>
  <c r="R34" i="19"/>
  <c r="L14" i="19"/>
  <c r="X24" i="19"/>
  <c r="L54" i="19"/>
  <c r="X14" i="19"/>
  <c r="AD44" i="19"/>
  <c r="X34" i="19"/>
  <c r="R24" i="19"/>
  <c r="L44" i="19"/>
  <c r="R54" i="19"/>
  <c r="AD24" i="19"/>
  <c r="AD14" i="19"/>
  <c r="AJ44" i="19"/>
  <c r="AD54" i="19"/>
  <c r="R44" i="19"/>
  <c r="AJ34" i="19"/>
  <c r="AD63" i="1"/>
  <c r="X44" i="19"/>
  <c r="AJ24" i="19"/>
  <c r="AJ14" i="19"/>
  <c r="AD34" i="19"/>
  <c r="AB64" i="1"/>
  <c r="S44" i="19" s="1"/>
  <c r="AC65" i="1"/>
  <c r="AD27" i="19"/>
  <c r="X7" i="19"/>
  <c r="AJ47" i="19"/>
  <c r="AJ7" i="19"/>
  <c r="X47" i="19"/>
  <c r="L47" i="19"/>
  <c r="AJ37" i="19"/>
  <c r="L7" i="19"/>
  <c r="R37" i="19"/>
  <c r="L27" i="19"/>
  <c r="L17" i="19"/>
  <c r="AD7" i="19"/>
  <c r="AD17" i="19"/>
  <c r="R27" i="19"/>
  <c r="X37" i="19"/>
  <c r="L37" i="19"/>
  <c r="X27" i="19"/>
  <c r="AD21" i="1"/>
  <c r="AD47" i="19"/>
  <c r="R17" i="19"/>
  <c r="R7" i="19"/>
  <c r="R47" i="19"/>
  <c r="AJ27" i="19"/>
  <c r="AJ17" i="19"/>
  <c r="X17" i="19"/>
  <c r="AD37" i="19"/>
  <c r="AB22" i="1"/>
  <c r="AC23" i="1"/>
  <c r="AB16" i="1"/>
  <c r="M36" i="19" s="1"/>
  <c r="AC17" i="1"/>
  <c r="R36" i="19"/>
  <c r="R46" i="19"/>
  <c r="AD36" i="19"/>
  <c r="AD46" i="19"/>
  <c r="X36" i="19"/>
  <c r="L36" i="19"/>
  <c r="AD16" i="19"/>
  <c r="AJ6" i="19"/>
  <c r="L16" i="19"/>
  <c r="AD26" i="19"/>
  <c r="R26" i="19"/>
  <c r="AJ26" i="19"/>
  <c r="AJ16" i="19"/>
  <c r="R16" i="19"/>
  <c r="X46" i="19"/>
  <c r="L6" i="19"/>
  <c r="AD15" i="1"/>
  <c r="AD6" i="19"/>
  <c r="AJ36" i="19"/>
  <c r="R6" i="19"/>
  <c r="AJ46" i="19"/>
  <c r="L46" i="19"/>
  <c r="X16" i="19"/>
  <c r="L26" i="19"/>
  <c r="X6" i="19"/>
  <c r="Y54" i="19" l="1"/>
  <c r="M54" i="19"/>
  <c r="M34" i="19"/>
  <c r="AK14" i="19"/>
  <c r="M14" i="19"/>
  <c r="S54" i="19"/>
  <c r="AE34" i="19"/>
  <c r="S14" i="19"/>
  <c r="Y44" i="19"/>
  <c r="S24" i="19"/>
  <c r="AK24" i="19"/>
  <c r="AE24" i="19"/>
  <c r="Y24" i="19"/>
  <c r="AE54" i="19"/>
  <c r="AD64" i="1"/>
  <c r="AK44" i="19"/>
  <c r="AK54" i="19"/>
  <c r="AK34" i="19"/>
  <c r="S34" i="19"/>
  <c r="AE14" i="19"/>
  <c r="M44" i="19"/>
  <c r="Y14" i="19"/>
  <c r="M24" i="19"/>
  <c r="Y34" i="19"/>
  <c r="AE44" i="19"/>
  <c r="AB65" i="1"/>
  <c r="AF44" i="19" s="1"/>
  <c r="AC66" i="1"/>
  <c r="AB66" i="1" s="1"/>
  <c r="AC24" i="1"/>
  <c r="AB24" i="1" s="1"/>
  <c r="AB23" i="1"/>
  <c r="S37" i="19"/>
  <c r="Y37" i="19"/>
  <c r="M27" i="19"/>
  <c r="Y27" i="19"/>
  <c r="M7" i="19"/>
  <c r="AE27" i="19"/>
  <c r="AE37" i="19"/>
  <c r="S47" i="19"/>
  <c r="Y47" i="19"/>
  <c r="S7" i="19"/>
  <c r="M47" i="19"/>
  <c r="M37" i="19"/>
  <c r="AK47" i="19"/>
  <c r="M17" i="19"/>
  <c r="AD22" i="1"/>
  <c r="S17" i="19"/>
  <c r="AK17" i="19"/>
  <c r="AE17" i="19"/>
  <c r="AE47" i="19"/>
  <c r="AK7" i="19"/>
  <c r="AK27" i="19"/>
  <c r="Y17" i="19"/>
  <c r="S27" i="19"/>
  <c r="Y7" i="19"/>
  <c r="AE7" i="19"/>
  <c r="AK37" i="19"/>
  <c r="S46" i="19"/>
  <c r="AK26" i="19"/>
  <c r="S6" i="19"/>
  <c r="AE46" i="19"/>
  <c r="Y26" i="19"/>
  <c r="AK36" i="19"/>
  <c r="M46" i="19"/>
  <c r="AB17" i="1"/>
  <c r="T26" i="19" s="1"/>
  <c r="AC18" i="1"/>
  <c r="AE6" i="19"/>
  <c r="S16" i="19"/>
  <c r="S36" i="19"/>
  <c r="M6" i="19"/>
  <c r="M16" i="19"/>
  <c r="Y36" i="19"/>
  <c r="AK46" i="19"/>
  <c r="M26" i="19"/>
  <c r="AD16" i="1"/>
  <c r="AK16" i="19"/>
  <c r="Y46" i="19"/>
  <c r="AE26" i="19"/>
  <c r="AK6" i="19"/>
  <c r="AE36" i="19"/>
  <c r="S26" i="19"/>
  <c r="Y6" i="19"/>
  <c r="AE16" i="19"/>
  <c r="Y16" i="19"/>
  <c r="N44" i="19" l="1"/>
  <c r="T24" i="19"/>
  <c r="N14" i="19"/>
  <c r="Z54" i="19"/>
  <c r="AL34" i="19"/>
  <c r="AF34" i="19"/>
  <c r="AL14" i="19"/>
  <c r="T34" i="19"/>
  <c r="T14" i="19"/>
  <c r="AD65" i="1"/>
  <c r="AF54" i="19"/>
  <c r="AL54" i="19"/>
  <c r="Z14" i="19"/>
  <c r="AL24" i="19"/>
  <c r="Z24" i="19"/>
  <c r="N24" i="19"/>
  <c r="N54" i="19"/>
  <c r="T44" i="19"/>
  <c r="AF14" i="19"/>
  <c r="AF24" i="19"/>
  <c r="AL44" i="19"/>
  <c r="Z44" i="19"/>
  <c r="N34" i="19"/>
  <c r="Z34" i="19"/>
  <c r="T54" i="19"/>
  <c r="AG24" i="19"/>
  <c r="AA54" i="19"/>
  <c r="U54" i="19"/>
  <c r="O54" i="19"/>
  <c r="O44" i="19"/>
  <c r="U14" i="19"/>
  <c r="AG44" i="19"/>
  <c r="U44" i="19"/>
  <c r="O24" i="19"/>
  <c r="AM44" i="19"/>
  <c r="AA24" i="19"/>
  <c r="AD66" i="1"/>
  <c r="AM14" i="19"/>
  <c r="AA34" i="19"/>
  <c r="AG54" i="19"/>
  <c r="AG34" i="19"/>
  <c r="AM24" i="19"/>
  <c r="U34" i="19"/>
  <c r="O34" i="19"/>
  <c r="AM54" i="19"/>
  <c r="U24" i="19"/>
  <c r="AA44" i="19"/>
  <c r="AG14" i="19"/>
  <c r="O14" i="19"/>
  <c r="AM34" i="19"/>
  <c r="AA14" i="19"/>
  <c r="Z47" i="19"/>
  <c r="AF27" i="19"/>
  <c r="N47" i="19"/>
  <c r="Z7" i="19"/>
  <c r="T7" i="19"/>
  <c r="AD23" i="1"/>
  <c r="Z27" i="19"/>
  <c r="T47" i="19"/>
  <c r="AL37" i="19"/>
  <c r="AF47" i="19"/>
  <c r="AL7" i="19"/>
  <c r="T17" i="19"/>
  <c r="AL47" i="19"/>
  <c r="AL17" i="19"/>
  <c r="Z17" i="19"/>
  <c r="T27" i="19"/>
  <c r="AF17" i="19"/>
  <c r="AF7" i="19"/>
  <c r="Z37" i="19"/>
  <c r="AL27" i="19"/>
  <c r="AF37" i="19"/>
  <c r="T37" i="19"/>
  <c r="N27" i="19"/>
  <c r="N17" i="19"/>
  <c r="N37" i="19"/>
  <c r="N7" i="19"/>
  <c r="U27" i="19"/>
  <c r="AM37" i="19"/>
  <c r="AA27" i="19"/>
  <c r="U47" i="19"/>
  <c r="O47" i="19"/>
  <c r="O37" i="19"/>
  <c r="AG27" i="19"/>
  <c r="AM27" i="19"/>
  <c r="O7" i="19"/>
  <c r="O17" i="19"/>
  <c r="AM7" i="19"/>
  <c r="U17" i="19"/>
  <c r="AA7" i="19"/>
  <c r="AG7" i="19"/>
  <c r="AG37" i="19"/>
  <c r="AA47" i="19"/>
  <c r="AD24" i="1"/>
  <c r="AG17" i="19"/>
  <c r="U37" i="19"/>
  <c r="AG47" i="19"/>
  <c r="O27" i="19"/>
  <c r="AA17" i="19"/>
  <c r="U7" i="19"/>
  <c r="AM47" i="19"/>
  <c r="AM17" i="19"/>
  <c r="AA37" i="19"/>
  <c r="Z6" i="19"/>
  <c r="AL36" i="19"/>
  <c r="T16" i="19"/>
  <c r="N6" i="19"/>
  <c r="Z46" i="19"/>
  <c r="T46" i="19"/>
  <c r="AF16" i="19"/>
  <c r="AL6" i="19"/>
  <c r="Z26" i="19"/>
  <c r="AF46" i="19"/>
  <c r="AF6" i="19"/>
  <c r="AL26" i="19"/>
  <c r="N46" i="19"/>
  <c r="AF26" i="19"/>
  <c r="N16" i="19"/>
  <c r="AL46" i="19"/>
  <c r="T36" i="19"/>
  <c r="AL16" i="19"/>
  <c r="N26" i="19"/>
  <c r="Z16" i="19"/>
  <c r="T6" i="19"/>
  <c r="AF36" i="19"/>
  <c r="N36" i="19"/>
  <c r="Z36" i="19"/>
  <c r="AD17" i="1"/>
  <c r="AB18" i="1"/>
  <c r="AD18" i="1" s="1"/>
  <c r="AA26" i="19" l="1"/>
  <c r="U16" i="19"/>
  <c r="U26" i="19"/>
  <c r="U6" i="19"/>
  <c r="AA16" i="19"/>
  <c r="AG26" i="19"/>
  <c r="AM26" i="19"/>
  <c r="O36" i="19"/>
  <c r="AM6" i="19"/>
  <c r="AM46" i="19"/>
  <c r="AM16" i="19"/>
  <c r="U36" i="19"/>
  <c r="AA6" i="19"/>
  <c r="O26" i="19"/>
  <c r="AA46" i="19"/>
  <c r="O16" i="19"/>
  <c r="AG6" i="19"/>
  <c r="AG16" i="19"/>
  <c r="O6" i="19"/>
  <c r="AG46" i="19"/>
  <c r="AM36" i="19"/>
  <c r="AA36" i="19"/>
  <c r="U46" i="19"/>
  <c r="AG36" i="19"/>
  <c r="O46" i="19"/>
  <c r="B223" i="13"/>
  <c r="B2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ENRIQUE LONDONO DE LA CRUZ</author>
  </authors>
  <commentList>
    <comment ref="A8" authorId="0" shapeId="0" xr:uid="{00000000-0006-0000-0100-000001000000}">
      <text>
        <r>
          <rPr>
            <sz val="9"/>
            <color indexed="81"/>
            <rFont val="Tahoma"/>
            <family val="2"/>
          </rPr>
          <t xml:space="preserve">Se deben nomenclar las variables con letra mayuscula y número D1…Dn </t>
        </r>
      </text>
    </comment>
    <comment ref="C8" authorId="0" shapeId="0" xr:uid="{00000000-0006-0000-0100-000002000000}">
      <text>
        <r>
          <rPr>
            <sz val="9"/>
            <color indexed="81"/>
            <rFont val="Tahoma"/>
            <family val="2"/>
          </rPr>
          <t xml:space="preserve">Se deben nomenclar las variables con letra mayuscula y número F1…Fn </t>
        </r>
      </text>
    </comment>
    <comment ref="E8" authorId="0" shapeId="0" xr:uid="{00000000-0006-0000-0100-000003000000}">
      <text>
        <r>
          <rPr>
            <sz val="9"/>
            <color indexed="81"/>
            <rFont val="Tahoma"/>
            <family val="2"/>
          </rPr>
          <t xml:space="preserve">Se deben nomenclar las variables con letra mayuscula y número A1…An </t>
        </r>
      </text>
    </comment>
    <comment ref="G8" authorId="0" shapeId="0" xr:uid="{00000000-0006-0000-0100-000004000000}">
      <text>
        <r>
          <rPr>
            <sz val="9"/>
            <color indexed="81"/>
            <rFont val="Tahoma"/>
            <family val="2"/>
          </rPr>
          <t xml:space="preserve">Se deben nomenclar las variables con letra mayuscula y número O1…On </t>
        </r>
      </text>
    </comment>
    <comment ref="I8" authorId="0" shapeId="0" xr:uid="{00000000-0006-0000-0100-000005000000}">
      <text>
        <r>
          <rPr>
            <sz val="9"/>
            <color indexed="81"/>
            <rFont val="Tahoma"/>
            <family val="2"/>
          </rPr>
          <t xml:space="preserve">Se deben nomenclar los cruces de las varibles con letra mayuscula y número F1-O1…Fn-On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Bedoya Gallo</author>
    <author>JORGE ENRIQUE LONDONO DE LA CRUZ</author>
  </authors>
  <commentList>
    <comment ref="D6" authorId="0" shapeId="0" xr:uid="{00000000-0006-0000-0200-000001000000}">
      <text>
        <r>
          <rPr>
            <b/>
            <sz val="9"/>
            <color indexed="81"/>
            <rFont val="Tahoma"/>
            <family val="2"/>
          </rPr>
          <t xml:space="preserve">Esfuerzo:
</t>
        </r>
        <r>
          <rPr>
            <sz val="9"/>
            <color indexed="81"/>
            <rFont val="Tahoma"/>
            <family val="2"/>
          </rPr>
          <t>Nivel de esfuerzo o capacidad operativa que requiere la estrategia para ser intervenida</t>
        </r>
      </text>
    </comment>
    <comment ref="E6" authorId="0" shapeId="0" xr:uid="{00000000-0006-0000-0200-000002000000}">
      <text>
        <r>
          <rPr>
            <b/>
            <sz val="9"/>
            <color indexed="81"/>
            <rFont val="Tahoma"/>
            <family val="2"/>
          </rPr>
          <t xml:space="preserve">Importancia para el proceso: 
</t>
        </r>
        <r>
          <rPr>
            <sz val="9"/>
            <color indexed="81"/>
            <rFont val="Tahoma"/>
            <family val="2"/>
          </rPr>
          <t xml:space="preserve">La estrategia contribuye significativamente al cumplimiento del objetivo del proceso y al mejoramiento de la gestión de las actividades del mismo. </t>
        </r>
      </text>
    </comment>
    <comment ref="F6" authorId="0" shapeId="0" xr:uid="{00000000-0006-0000-0200-000003000000}">
      <text>
        <r>
          <rPr>
            <b/>
            <sz val="9"/>
            <color indexed="81"/>
            <rFont val="Tahoma"/>
            <family val="2"/>
          </rPr>
          <t>Impacto en otros procesos:</t>
        </r>
        <r>
          <rPr>
            <sz val="9"/>
            <color indexed="81"/>
            <rFont val="Tahoma"/>
            <family val="2"/>
          </rPr>
          <t xml:space="preserve">
La estrategia impacta positivamente la gestión de otros procesos del SIG, así:
Impacto en 1 proceso: valoración  = 1 
Impacto en 2 procesos: valoración = 2
Impacto en 3 o más procesos: valoración = 3</t>
        </r>
      </text>
    </comment>
    <comment ref="G6" authorId="0" shapeId="0" xr:uid="{00000000-0006-0000-0200-000004000000}">
      <text>
        <r>
          <rPr>
            <b/>
            <sz val="9"/>
            <color indexed="81"/>
            <rFont val="Tahoma"/>
            <family val="2"/>
          </rPr>
          <t xml:space="preserve">Viabilidad técnica:
</t>
        </r>
        <r>
          <rPr>
            <sz val="9"/>
            <color indexed="81"/>
            <rFont val="Tahoma"/>
            <family val="2"/>
          </rPr>
          <t>La estrategia cumple con los parámetros técnicos, conforme a las especificaciones o condiciones aplicables para su implementación.</t>
        </r>
      </text>
    </comment>
    <comment ref="H6" authorId="0" shapeId="0" xr:uid="{00000000-0006-0000-0200-000005000000}">
      <text>
        <r>
          <rPr>
            <b/>
            <sz val="9"/>
            <color indexed="81"/>
            <rFont val="Tahoma"/>
            <family val="2"/>
          </rPr>
          <t xml:space="preserve">Viabilidad financiera:
</t>
        </r>
        <r>
          <rPr>
            <sz val="9"/>
            <color indexed="81"/>
            <rFont val="Tahoma"/>
            <family val="2"/>
          </rPr>
          <t xml:space="preserve">Se cuenta con la disponiblidad de presupuesto para la implementación de la estrategia o este puede gestionarse desde el proceso. 
</t>
        </r>
      </text>
    </comment>
    <comment ref="L6" authorId="1" shapeId="0" xr:uid="{00000000-0006-0000-0200-000006000000}">
      <text>
        <r>
          <rPr>
            <sz val="9"/>
            <color indexed="81"/>
            <rFont val="Tahoma"/>
            <family val="2"/>
          </rPr>
          <t xml:space="preserve">Se describe el motivo cuando no se registra pese a que fue priorizada y en caso contrario detallar el número de la acción registrada en Isolución.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JORGE ENRIQUE LONDONO DE LA CRUZ</author>
  </authors>
  <commentList>
    <comment ref="C8" authorId="0" shapeId="0" xr:uid="{00000000-0006-0000-0300-000001000000}">
      <text>
        <r>
          <rPr>
            <sz val="9"/>
            <color indexed="81"/>
            <rFont val="Tahoma"/>
            <charset val="1"/>
          </rPr>
          <t>Diligencie el objetivo del proceso.</t>
        </r>
      </text>
    </comment>
    <comment ref="C9" authorId="0" shapeId="0" xr:uid="{00000000-0006-0000-0300-000002000000}">
      <text>
        <r>
          <rPr>
            <sz val="9"/>
            <color indexed="81"/>
            <rFont val="Tahoma"/>
            <charset val="1"/>
          </rPr>
          <t>Diligencie el alcance del proceso.</t>
        </r>
      </text>
    </comment>
    <comment ref="B11" authorId="0" shapeId="0" xr:uid="{00000000-0006-0000-0300-000003000000}">
      <text>
        <r>
          <rPr>
            <sz val="9"/>
            <color indexed="81"/>
            <rFont val="Tahoma"/>
            <charset val="1"/>
          </rPr>
          <t>Analice las consecuencias que puede ocasionar a la organización la materialización del riesgo, redacte de la forma más concreta posible.</t>
        </r>
      </text>
    </comment>
    <comment ref="C11" authorId="0" shapeId="0" xr:uid="{00000000-0006-0000-0300-000004000000}">
      <text>
        <r>
          <rPr>
            <sz val="9"/>
            <color indexed="81"/>
            <rFont val="Tahoma"/>
            <charset val="1"/>
          </rPr>
          <t>Circunstancias bajo las cuales se presenta el riesgo, es la situación más evidente frente al riesgo, redacte de la forma más concreta posible.</t>
        </r>
      </text>
    </comment>
    <comment ref="D11" authorId="0" shapeId="0" xr:uid="{00000000-0006-0000-0300-000005000000}">
      <text>
        <r>
          <rPr>
            <sz val="9"/>
            <color indexed="81"/>
            <rFont val="Tahoma"/>
            <charset val="1"/>
          </rPr>
          <t>Causa  principal  o básica, corresponde a las razones por la cuales se puede presentar  el riesgo, redacte de la forma más concreta posible.</t>
        </r>
      </text>
    </comment>
    <comment ref="E11" authorId="0" shapeId="0" xr:uid="{00000000-0006-0000-0300-000006000000}">
      <text>
        <r>
          <rPr>
            <sz val="9"/>
            <color indexed="81"/>
            <rFont val="Tahoma"/>
            <charset val="1"/>
          </rPr>
          <t>Consolida o resume los análisis sobre impacto + causa inmediata + causa raíz, permitiendo contar con una redacción clara y concreta del riesgo indentificado. Tenga en cuenta la estructura de alto nivel establecida en la guía, inicia con:
  POSIBILIDAD DE
 + Impacto para la entidad (Qué)
 + Causa Inmediata (Cómo)
 + Causa Raíz (Por qué)</t>
        </r>
      </text>
    </comment>
    <comment ref="F11" authorId="0" shapeId="0" xr:uid="{00000000-0006-0000-0300-000007000000}">
      <text>
        <r>
          <rPr>
            <sz val="9"/>
            <color indexed="81"/>
            <rFont val="Tahoma"/>
            <charset val="1"/>
          </rPr>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r>
      </text>
    </comment>
    <comment ref="G11" authorId="0" shapeId="0" xr:uid="{00000000-0006-0000-0300-000008000000}">
      <text>
        <r>
          <rPr>
            <sz val="9"/>
            <color indexed="81"/>
            <rFont val="Tahoma"/>
            <charset val="1"/>
          </rPr>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r>
      </text>
    </comment>
    <comment ref="I11" authorId="0" shapeId="0" xr:uid="{00000000-0006-0000-0300-000009000000}">
      <text>
        <r>
          <rPr>
            <sz val="9"/>
            <color indexed="81"/>
            <rFont val="Tahoma"/>
            <family val="2"/>
          </rPr>
          <t>Este porcentaje corresponde a la tabla de probabilidad de acuerdo a la frecuencia con la cual se realiza la actividad</t>
        </r>
      </text>
    </comment>
    <comment ref="J11" authorId="0" shapeId="0" xr:uid="{00000000-0006-0000-0300-00000A000000}">
      <text>
        <r>
          <rPr>
            <sz val="9"/>
            <color indexed="81"/>
            <rFont val="Tahoma"/>
            <charset val="1"/>
          </rPr>
          <t>Utilice la lista de despligue que se encuentra parametrizada, le aparecerán las opciones de la tabla de Impacto en la Hoja 6 del presente documento. La matriz automáticamente hará el cálculo para el nivel de impacto inherente (Columnas L-M)</t>
        </r>
      </text>
    </comment>
    <comment ref="Q11" authorId="0" shapeId="0" xr:uid="{00000000-0006-0000-0300-00000B000000}">
      <text>
        <r>
          <rPr>
            <sz val="9"/>
            <color indexed="81"/>
            <rFont val="Tahoma"/>
            <charset val="1"/>
          </rPr>
          <t>Recuerde que el control se define como la medida que permite reducir o mitigar un riesgo. Defina el control (es) que atacan la causa raíz del riesgo, considere la estructura explicada en la guía: Responsable de ejecutar el control + Acción + Complemento</t>
        </r>
      </text>
    </comment>
    <comment ref="S12" authorId="0" shapeId="0" xr:uid="{00000000-0006-0000-0300-00000C000000}">
      <text>
        <r>
          <rPr>
            <sz val="9"/>
            <color indexed="81"/>
            <rFont val="Tahoma"/>
            <family val="2"/>
          </rPr>
          <t>Utilice la lista de despligue que se encuentra parametrizada, le aparecerán las opciones: 
Preventivo:  xxxx
Detectivo: xxxx
Correctivo: xxxxx</t>
        </r>
      </text>
    </comment>
    <comment ref="T12" authorId="0" shapeId="0" xr:uid="{00000000-0006-0000-0300-00000D000000}">
      <text>
        <r>
          <rPr>
            <sz val="9"/>
            <color indexed="81"/>
            <rFont val="Tahoma"/>
            <family val="2"/>
          </rPr>
          <t>Utilice la lista de despligue que se encuentra parametrizada, le aparecerán las opciones: i)Automático, ii)Manual.</t>
        </r>
      </text>
    </comment>
    <comment ref="U12" authorId="0" shapeId="0" xr:uid="{00000000-0006-0000-0300-00000E000000}">
      <text>
        <r>
          <rPr>
            <sz val="9"/>
            <color indexed="81"/>
            <rFont val="Tahoma"/>
            <family val="2"/>
          </rPr>
          <t xml:space="preserve">La matriz automáticamente hará el cálculo para el control analizado (Columna T) </t>
        </r>
      </text>
    </comment>
    <comment ref="V12" authorId="0" shapeId="0" xr:uid="{00000000-0006-0000-0300-00000F000000}">
      <text>
        <r>
          <rPr>
            <sz val="9"/>
            <color indexed="81"/>
            <rFont val="Tahoma"/>
            <family val="2"/>
          </rPr>
          <t>Utilice la lista de despligue que se encuentra parametrizada, le aparecerán las opciones: i)Documentado, ii)Sin documentar.</t>
        </r>
      </text>
    </comment>
    <comment ref="W12" authorId="0" shapeId="0" xr:uid="{00000000-0006-0000-0300-000010000000}">
      <text>
        <r>
          <rPr>
            <sz val="9"/>
            <color indexed="81"/>
            <rFont val="Tahoma"/>
            <family val="2"/>
          </rPr>
          <t>Utilice la lista de despligue que se encuentra parametrizada, le aparecerán las opciones:
Continua; xxxx
Aleatoria; XXXX</t>
        </r>
      </text>
    </comment>
    <comment ref="X12" authorId="0" shapeId="0" xr:uid="{00000000-0006-0000-0300-000011000000}">
      <text>
        <r>
          <rPr>
            <sz val="9"/>
            <color indexed="81"/>
            <rFont val="Tahoma"/>
            <family val="2"/>
          </rPr>
          <t>Utilice la lista de despligue que se encuentra parametrizada, le aparecerán las opciones: i)Con Registro, ii) Sin Registro.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Gloria Cecilia Gutierrez Zapata</author>
    <author>Elcy del Carmen Montoya Perez</author>
    <author>JORGE ENRIQUE LONDONO DE LA CRUZ</author>
    <author>Olga Lucia Llanos Orozco</author>
  </authors>
  <commentList>
    <comment ref="A10" authorId="0" shapeId="0" xr:uid="{00000000-0006-0000-0400-000001000000}">
      <text>
        <r>
          <rPr>
            <b/>
            <sz val="14"/>
            <color indexed="81"/>
            <rFont val="Arial"/>
            <family val="2"/>
          </rPr>
          <t>*</t>
        </r>
        <r>
          <rPr>
            <sz val="14"/>
            <color indexed="81"/>
            <rFont val="Arial"/>
            <family val="2"/>
          </rPr>
          <t xml:space="preserve"> Posibilidad de que suceda algún evento que tendrá un impacto sobre los objetivos institucionales o del proceso. Se expresa en términos de probabilidad y consecuencias.
* Efecto en la incertidumbre sobre los objetivos.
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Revisar pestaña "Conceptos"</t>
        </r>
      </text>
    </comment>
    <comment ref="G10" authorId="1" shapeId="0" xr:uid="{00000000-0006-0000-0400-000002000000}">
      <text>
        <r>
          <rPr>
            <b/>
            <sz val="12"/>
            <color indexed="81"/>
            <rFont val="Arial"/>
            <family val="2"/>
          </rPr>
          <t>Definir según descripción de las tipologías (pestaña "Conceptos").</t>
        </r>
      </text>
    </comment>
    <comment ref="H10" authorId="1" shapeId="0" xr:uid="{00000000-0006-0000-0400-000003000000}">
      <text>
        <r>
          <rPr>
            <b/>
            <u/>
            <sz val="12"/>
            <color indexed="81"/>
            <rFont val="Arial"/>
            <family val="2"/>
          </rPr>
          <t xml:space="preserve">Causas del riesgo </t>
        </r>
        <r>
          <rPr>
            <sz val="12"/>
            <color indexed="81"/>
            <rFont val="Arial"/>
            <family val="2"/>
          </rPr>
          <t xml:space="preserve">
</t>
        </r>
        <r>
          <rPr>
            <u/>
            <sz val="12"/>
            <color indexed="81"/>
            <rFont val="Arial"/>
            <family val="2"/>
          </rPr>
          <t xml:space="preserve">La causa </t>
        </r>
        <r>
          <rPr>
            <sz val="12"/>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I10" authorId="1" shapeId="0" xr:uid="{00000000-0006-0000-0400-000004000000}">
      <text>
        <r>
          <rPr>
            <b/>
            <u/>
            <sz val="12"/>
            <color indexed="81"/>
            <rFont val="Arial"/>
            <family val="2"/>
          </rPr>
          <t>Consecuencia: 
Lo que podria ocasionar…(Efecto)</t>
        </r>
        <r>
          <rPr>
            <sz val="12"/>
            <color indexed="81"/>
            <rFont val="Arial"/>
            <family val="2"/>
          </rPr>
          <t xml:space="preserve">
Efectos generados por la ocurrencia de un riesgo que afecta los objetivos o un proceso de la entidad. Pueden ser entre otros, una pérdida, un daño, un perjuicio, un detrimento.</t>
        </r>
      </text>
    </comment>
    <comment ref="AG10" authorId="0" shapeId="0" xr:uid="{00000000-0006-0000-0400-000005000000}">
      <text>
        <r>
          <rPr>
            <b/>
            <sz val="14"/>
            <color indexed="81"/>
            <rFont val="Arial"/>
            <family val="2"/>
          </rPr>
          <t>campo calculado automaticamente.
Nota: no modificar manualmente.</t>
        </r>
        <r>
          <rPr>
            <sz val="9"/>
            <color indexed="81"/>
            <rFont val="Tahoma"/>
            <family val="2"/>
          </rPr>
          <t xml:space="preserve">
</t>
        </r>
      </text>
    </comment>
    <comment ref="AI10" authorId="0" shapeId="0" xr:uid="{00000000-0006-0000-0400-000006000000}">
      <text>
        <r>
          <rPr>
            <b/>
            <sz val="14"/>
            <color indexed="81"/>
            <rFont val="Arial"/>
            <family val="2"/>
          </rPr>
          <t>campo calculado automaticamente.
Nota: no modificar manualmente.</t>
        </r>
        <r>
          <rPr>
            <sz val="9"/>
            <color indexed="81"/>
            <rFont val="Tahoma"/>
            <family val="2"/>
          </rPr>
          <t xml:space="preserve">
</t>
        </r>
      </text>
    </comment>
    <comment ref="AK10" authorId="2" shapeId="0" xr:uid="{00000000-0006-0000-0400-000007000000}">
      <text>
        <r>
          <rPr>
            <sz val="9"/>
            <color indexed="81"/>
            <rFont val="Tahoma"/>
            <charset val="1"/>
          </rPr>
          <t>Consolida o resume los análisis sobre impacto + causa inmediata + causa raíz, permitiendo contar con una redacción clara y concreta del riesgo indentificado. Tenga en cuenta la estructura de alto nivel establecida en la guía, inicia con:
  POSIBILIDAD DE
 + Impacto para la entidad (Qué)
 + Causa Inmediata (Cómo)
 + Causa Raíz (Por qué)</t>
        </r>
      </text>
    </comment>
    <comment ref="AL10" authorId="3" shapeId="0" xr:uid="{00000000-0006-0000-0400-000008000000}">
      <text>
        <r>
          <rPr>
            <b/>
            <sz val="14"/>
            <color rgb="FF000000"/>
            <rFont val="Arial"/>
            <family val="2"/>
          </rPr>
          <t xml:space="preserve">Preventivos: </t>
        </r>
        <r>
          <rPr>
            <sz val="14"/>
            <color rgb="FF000000"/>
            <rFont val="Arial"/>
            <family val="2"/>
          </rPr>
          <t>Controles diseñados para evitar que se materialice el riesgo.</t>
        </r>
        <r>
          <rPr>
            <b/>
            <sz val="14"/>
            <color rgb="FF000000"/>
            <rFont val="Arial"/>
            <family val="2"/>
          </rPr>
          <t xml:space="preserve">
Detectivos: </t>
        </r>
        <r>
          <rPr>
            <sz val="14"/>
            <color rgb="FF000000"/>
            <rFont val="Arial"/>
            <family val="2"/>
          </rPr>
          <t xml:space="preserve">Buscan identificar un evento o resultado no previsto despues que se haya producido.
</t>
        </r>
      </text>
    </comment>
    <comment ref="BB10" authorId="3" shapeId="0" xr:uid="{00000000-0006-0000-0400-000009000000}">
      <text>
        <r>
          <rPr>
            <b/>
            <sz val="14"/>
            <color rgb="FF000000"/>
            <rFont val="Arial"/>
            <family val="2"/>
          </rPr>
          <t xml:space="preserve">Fuerte = </t>
        </r>
        <r>
          <rPr>
            <sz val="14"/>
            <color rgb="FF000000"/>
            <rFont val="Arial"/>
            <family val="2"/>
          </rPr>
          <t xml:space="preserve">Calificación entre 96 y 100.
</t>
        </r>
        <r>
          <rPr>
            <b/>
            <sz val="14"/>
            <color rgb="FF000000"/>
            <rFont val="Arial"/>
            <family val="2"/>
          </rPr>
          <t>Moderado</t>
        </r>
        <r>
          <rPr>
            <sz val="14"/>
            <color rgb="FF000000"/>
            <rFont val="Arial"/>
            <family val="2"/>
          </rPr>
          <t xml:space="preserve"> = Calificación entre 86 y 95.
</t>
        </r>
        <r>
          <rPr>
            <b/>
            <sz val="14"/>
            <color rgb="FF000000"/>
            <rFont val="Arial"/>
            <family val="2"/>
          </rPr>
          <t>Débil</t>
        </r>
        <r>
          <rPr>
            <sz val="14"/>
            <color rgb="FF000000"/>
            <rFont val="Arial"/>
            <family val="2"/>
          </rPr>
          <t xml:space="preserve"> = Calificación entre 0 y 85.
Campo automático.</t>
        </r>
      </text>
    </comment>
    <comment ref="BC10" authorId="3" shapeId="0" xr:uid="{00000000-0006-0000-0400-00000A000000}">
      <text>
        <r>
          <rPr>
            <b/>
            <sz val="14"/>
            <color rgb="FF000000"/>
            <rFont val="Arial"/>
            <family val="2"/>
          </rPr>
          <t xml:space="preserve">Fuerte = </t>
        </r>
        <r>
          <rPr>
            <sz val="14"/>
            <color rgb="FF000000"/>
            <rFont val="Arial"/>
            <family val="2"/>
          </rPr>
          <t>El control se ejecuta de manera consistente por parte del responsable.</t>
        </r>
        <r>
          <rPr>
            <b/>
            <sz val="14"/>
            <color rgb="FF000000"/>
            <rFont val="Arial"/>
            <family val="2"/>
          </rPr>
          <t xml:space="preserve">
</t>
        </r>
        <r>
          <rPr>
            <sz val="14"/>
            <color rgb="FF000000"/>
            <rFont val="Arial"/>
            <family val="2"/>
          </rPr>
          <t xml:space="preserve">
</t>
        </r>
        <r>
          <rPr>
            <b/>
            <sz val="14"/>
            <color rgb="FF000000"/>
            <rFont val="Arial"/>
            <family val="2"/>
          </rPr>
          <t>Moderado</t>
        </r>
        <r>
          <rPr>
            <sz val="14"/>
            <color rgb="FF000000"/>
            <rFont val="Arial"/>
            <family val="2"/>
          </rPr>
          <t xml:space="preserve"> = El control se ejecuta algunas veces por parte del responsable.
</t>
        </r>
        <r>
          <rPr>
            <b/>
            <sz val="14"/>
            <color rgb="FF000000"/>
            <rFont val="Arial"/>
            <family val="2"/>
          </rPr>
          <t>Débil</t>
        </r>
        <r>
          <rPr>
            <sz val="14"/>
            <color rgb="FF000000"/>
            <rFont val="Arial"/>
            <family val="2"/>
          </rPr>
          <t xml:space="preserve"> = El control no se ejecuta por parte del responsable.</t>
        </r>
        <r>
          <rPr>
            <sz val="11"/>
            <color rgb="FF000000"/>
            <rFont val="Tahoma"/>
            <family val="2"/>
          </rPr>
          <t xml:space="preserve">
</t>
        </r>
      </text>
    </comment>
    <comment ref="BD10" authorId="0" shapeId="0" xr:uid="{00000000-0006-0000-0400-00000B000000}">
      <text>
        <r>
          <rPr>
            <sz val="14"/>
            <color indexed="81"/>
            <rFont val="Arial"/>
            <family val="2"/>
          </rPr>
          <t>Fuerte + Fuerte = Fuerte
Fuerte + Moderado = Moderado
Fuerte + Débil = Débli 
Moderado + Fuerte = Moderado
Moderado + Moderado = Moderado
Moderado + Débil = Débil
Débil + Fuerte = Débil
Débil + Moderado = Débil
Débil + Débil = Débil</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<sst xmlns="http://schemas.openxmlformats.org/spreadsheetml/2006/main" count="839" uniqueCount="578">
  <si>
    <t>Matriz de riesgos y oportunidades por proceso.</t>
  </si>
  <si>
    <t>Código: FO-M1-P5-023</t>
  </si>
  <si>
    <t>Versión: 6</t>
  </si>
  <si>
    <t>Fecha de Aprobación: 06/05/2024</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</si>
  <si>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</si>
  <si>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V6</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</si>
  <si>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</si>
  <si>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</si>
  <si>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Orientaciones Generales
-  Hoja 2 matriz DOFA
-  Hoja 3 Matriz Multicriterio Prirización Estrategias</t>
    </r>
    <r>
      <rPr>
        <sz val="10"/>
        <rFont val="Arial Narrow"/>
        <family val="2"/>
      </rPr>
      <t xml:space="preserve">
 -  </t>
    </r>
    <r>
      <rPr>
        <b/>
        <sz val="11"/>
        <rFont val="Arial Narrow"/>
        <family val="2"/>
      </rPr>
      <t xml:space="preserve">Hoja 4 Mapa Riesgos Gestión: </t>
    </r>
    <r>
      <rPr>
        <sz val="10"/>
        <rFont val="Arial Narrow"/>
        <family val="2"/>
      </rPr>
      <t xml:space="preserve">Encontrará la totalidad de la estructura para la identificación y valoración de los riesgos por proceso, programa o proyecto, acorde con el nivel de desagregación que la entidad considere necesaria.
-   </t>
    </r>
    <r>
      <rPr>
        <b/>
        <sz val="10"/>
        <rFont val="Arial Narrow"/>
        <family val="2"/>
      </rPr>
      <t xml:space="preserve">Hoja 5 Mapa Riesgos Corrupción: </t>
    </r>
    <r>
      <rPr>
        <sz val="10"/>
        <rFont val="Arial Narrow"/>
        <family val="2"/>
      </rPr>
      <t xml:space="preserve">Está matirz podrá ser utilizada para aquellos procesos que hayan identificado riesgos de esta categoria y tendrá un tratamiento especifico.
-   </t>
    </r>
    <r>
      <rPr>
        <b/>
        <sz val="10"/>
        <rFont val="Arial Narrow"/>
        <family val="2"/>
      </rPr>
      <t xml:space="preserve">Hoja 6 Matriz de Calor Inherente Riesgos de Gestión: </t>
    </r>
    <r>
      <rPr>
        <sz val="10"/>
        <rFont val="Arial Narrow"/>
        <family val="2"/>
      </rPr>
      <t>En esta hoja, en la medida en que ese diligencia el Mapa Final, se verán reflejados los riesgos en su zona correspondiente. Esta hoja no se diligencia se genera de manera automática.</t>
    </r>
    <r>
      <rPr>
        <b/>
        <sz val="10"/>
        <rFont val="Arial Narrow"/>
        <family val="2"/>
      </rPr>
      <t xml:space="preserve">
-   Hoja 7 Matriz de Calor Residual Riesgos de Gestión: E</t>
    </r>
    <r>
      <rPr>
        <sz val="10"/>
        <rFont val="Arial Narrow"/>
        <family val="2"/>
      </rPr>
      <t xml:space="preserve">n esta hoja, en la medida en que ese diligencia el Mapa Final, se verán reflejados los riesgos en su zona correspondiente. Esta hoja no se diligencia se genera de manera automática. </t>
    </r>
    <r>
      <rPr>
        <b/>
        <sz val="10"/>
        <rFont val="Arial Narrow"/>
        <family val="2"/>
      </rPr>
      <t xml:space="preserve">
-   Hoja 8 Tabla de Probabilidad: </t>
    </r>
    <r>
      <rPr>
        <sz val="10"/>
        <rFont val="Arial Narrow"/>
        <family val="2"/>
      </rPr>
      <t>Tabla referente para todos los cálculos (no se diligencia)</t>
    </r>
    <r>
      <rPr>
        <b/>
        <sz val="10"/>
        <rFont val="Arial Narrow"/>
        <family val="2"/>
      </rPr>
      <t xml:space="preserve">
-   Hoja 9 Tabla de Impacto: </t>
    </r>
    <r>
      <rPr>
        <sz val="10"/>
        <rFont val="Arial Narrow"/>
        <family val="2"/>
      </rPr>
      <t>Tabla referente para todos los cálculos (no se diligencia)</t>
    </r>
    <r>
      <rPr>
        <b/>
        <sz val="10"/>
        <rFont val="Arial Narrow"/>
        <family val="2"/>
      </rPr>
      <t xml:space="preserve">
-   Hoja 10 Tabla de Valoración Controles:</t>
    </r>
    <r>
      <rPr>
        <sz val="10"/>
        <rFont val="Arial Narrow"/>
        <family val="2"/>
      </rPr>
      <t xml:space="preserve"> Tabla referente para todos los cálculos (no se diligencia) </t>
    </r>
    <r>
      <rPr>
        <b/>
        <sz val="10"/>
        <rFont val="Arial Narrow"/>
        <family val="2"/>
      </rPr>
      <t xml:space="preserve">
-   Hoja 11 Formulas: </t>
    </r>
    <r>
      <rPr>
        <sz val="10"/>
        <rFont val="Arial Narrow"/>
        <family val="2"/>
      </rPr>
      <t xml:space="preserve">Tabla referente para todos los cálculos (no se diligencia)
</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</si>
  <si>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</si>
  <si>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</si>
  <si>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</si>
  <si>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</si>
  <si>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</si>
  <si>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</si>
  <si>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</si>
  <si>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</si>
  <si>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</si>
  <si>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</si>
  <si>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</si>
  <si>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</si>
  <si>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</si>
  <si>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</si>
  <si>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</si>
  <si>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</si>
  <si>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</si>
  <si>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</si>
  <si>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</si>
  <si>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</si>
  <si>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</si>
  <si>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</si>
  <si>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</si>
  <si>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</si>
  <si>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</si>
  <si>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</si>
  <si>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</si>
  <si>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</si>
  <si>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</si>
  <si>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</si>
  <si>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</si>
  <si>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</si>
  <si>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</si>
  <si>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</si>
  <si>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</si>
  <si>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</si>
  <si>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</si>
  <si>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</si>
  <si>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</si>
  <si>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</si>
  <si>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</si>
  <si>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</si>
  <si>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</si>
  <si>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</si>
  <si>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</si>
  <si>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</si>
  <si>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</si>
  <si>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</si>
  <si>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</si>
  <si>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</si>
  <si>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t>Fecha de Aprobación: 29/05/2024</t>
  </si>
  <si>
    <t xml:space="preserve">MATRIZ DOFA DEL PROCESO </t>
  </si>
  <si>
    <t xml:space="preserve">Proceso: </t>
  </si>
  <si>
    <t>MATRIZ DOFA (FACTORES INTERNOS)</t>
  </si>
  <si>
    <t>MATRIZ DOFA (FACTORES EXTERNOS)</t>
  </si>
  <si>
    <t>ESTRATEGIAS</t>
  </si>
  <si>
    <t>DEBILIDADES: Factores negativos que se deben eliminar o reducir</t>
  </si>
  <si>
    <t>FORTALEZAS: Factores positivos</t>
  </si>
  <si>
    <t>AMENAZAS: Aspectos negativos que podrían obstaculizar el logro de los objetivos</t>
  </si>
  <si>
    <t>OPORTUNIDADES: Aspectos positivos que se pueden aprovechar utilizando las fortalezas</t>
  </si>
  <si>
    <t>Comparar los factores identificados a partir del contexto estratégico, generando estrategias que contribuyan a la mejora continua del proceso.</t>
  </si>
  <si>
    <t>ÍTEM</t>
  </si>
  <si>
    <t>Financieros, personal, procesos, tecnología, estratégicos, comunicación interna, entre otros.</t>
  </si>
  <si>
    <t>Políticos, económicos y financieros, sociales y culturales, tecnológicos, ambientales, legales y reglamentarios, entre otros.</t>
  </si>
  <si>
    <t>Estrategias FO - Ofensivas: Utiliza las fortalezas para obtener ventajas de las oportunidades.
Estrategias DO - Adaptativas: Supera las debilidades aprovechando las oportunidades.
Estrategias FA -Defensivas: Utiliza las fortalezas para evitar las amenazas.
Estrategias DA -Supervivencia: Disminuye las debilidades y evita las amenazas del entorno.</t>
  </si>
  <si>
    <r>
      <rPr>
        <sz val="11"/>
        <color rgb="FFFF0000"/>
        <rFont val="Calibri"/>
        <family val="2"/>
      </rPr>
      <t>Financieros:</t>
    </r>
    <r>
      <rPr>
        <sz val="11"/>
        <rFont val="Calibri"/>
        <family val="2"/>
      </rPr>
      <t xml:space="preserve"> </t>
    </r>
  </si>
  <si>
    <t xml:space="preserve">Política: </t>
  </si>
  <si>
    <t>D1A1</t>
  </si>
  <si>
    <t>DA 1 - INCENTIVAR A LA CIUDADANÍA PARA QUE PARTICIPE EN LOS ESPACIOS DE RDC CON EL SUMINISTRO DE TRANSPORTE, REFRIGERIOS (VIÁTICOS)</t>
  </si>
  <si>
    <t>Falta de incentivos a la ciudadanía y grupos de valor para estimular el proceso de RdC</t>
  </si>
  <si>
    <t xml:space="preserve">Poca participación ciudadana, manipulación política de adversarios </t>
  </si>
  <si>
    <t>Articular las rendiciones de cuentas en el territorio con las alcaldías y demás sectores</t>
  </si>
  <si>
    <t>D1A3</t>
  </si>
  <si>
    <t>DA2 - INCENTIVAR A LA CIUDADANÍA PARA QUE CONOZCA EL PROCESO DE RDC CON CAPACITACIONES ESPECIALIZADAS</t>
  </si>
  <si>
    <t>Factores políticos pueden incidir en una normal rendición de cuentas</t>
  </si>
  <si>
    <t>D7A11</t>
  </si>
  <si>
    <t>DA3 - REALIZAR UNA ARTICULACION A TRAVES DEL GIT CON LOS DIFERENTES ACTORES PARA REALIZAR RDC SECTORIALES, TEMÁTICAS O TERRITORIALES</t>
  </si>
  <si>
    <r>
      <rPr>
        <sz val="11"/>
        <color rgb="FFFF0000"/>
        <rFont val="Calibri"/>
        <family val="2"/>
      </rPr>
      <t>Personal:</t>
    </r>
    <r>
      <rPr>
        <sz val="11"/>
        <rFont val="Calibri"/>
        <family val="2"/>
      </rPr>
      <t xml:space="preserve">  </t>
    </r>
  </si>
  <si>
    <t xml:space="preserve">Económica: </t>
  </si>
  <si>
    <t>D2O15</t>
  </si>
  <si>
    <t>DO1 - EL GIT REALIZA SEGUIMIENTO A LAS SOLICITUDES QUE HAGA LA CIUDADANIA EN LOS DIFERENTES ESPACIOS DE RDC</t>
  </si>
  <si>
    <t>El talento Humano de la gobernacion de Antioquia</t>
  </si>
  <si>
    <t>D3O15</t>
  </si>
  <si>
    <t>DO2 - EL GIT REALIZA SEGUIMIENTO A LASLOS HALLAZGOS DE LOS ORGANISMOS DE CONTROL Y LA AUDITORIA INDEPENDIENTE</t>
  </si>
  <si>
    <t xml:space="preserve">Procesos: </t>
  </si>
  <si>
    <r>
      <t xml:space="preserve">Social: </t>
    </r>
    <r>
      <rPr>
        <sz val="11"/>
        <rFont val="Calibri"/>
        <family val="2"/>
      </rPr>
      <t>.</t>
    </r>
  </si>
  <si>
    <t>D4O2</t>
  </si>
  <si>
    <t>DO3 - USAR MEDIOS ALTERNATIVOS PARA DIFUSIÓN DE RC EN TERRITORIO</t>
  </si>
  <si>
    <t xml:space="preserve">Falta de seguimiento a las solicitudes que se hacen </t>
  </si>
  <si>
    <t>El GIT de RdC posibilita un trabajo articulado en todo el proceso de rendición de cuentas</t>
  </si>
  <si>
    <t>Desconocimiento ciudadano del proceso de rendición de cuentas.</t>
  </si>
  <si>
    <t xml:space="preserve">Generar medios alternativos de convocatoria que garanticen la participación de la comunidad </t>
  </si>
  <si>
    <t>D4O6</t>
  </si>
  <si>
    <t>DO4 - FORTALECER LA DIFUSIÓN POR REDES CON ANTICIPACIÓN A LOS EVENTOS DE RDC</t>
  </si>
  <si>
    <t>Falta de seguimiento adecuado a los planes de mejoramiento, auditorías e inquietudes de los ciudadanos</t>
  </si>
  <si>
    <t>Baja confianza ciudadana por no resolver principales problemas de la ciudadanía</t>
  </si>
  <si>
    <t>Habilitar diferentes espacios de participación ciudadana para nutrir la rendición y atender las necesidades de los ciudadanos</t>
  </si>
  <si>
    <t>D5O8</t>
  </si>
  <si>
    <t>DO5 - IMPLEMENTAR ANALÍTICA DE DATOS EN LOS AVANCES DE LA GESTIÓN PARA UNA EFECTIVA RDC</t>
  </si>
  <si>
    <t xml:space="preserve">Falta de difusión de los procesos de rendición de cuentas. </t>
  </si>
  <si>
    <t>No aceptación de la rendición por parte de la comunidad</t>
  </si>
  <si>
    <t>Estructurar redes colaborativas con diferentes actores para hacerle seguimiento a las necesidades ciudadanas</t>
  </si>
  <si>
    <t>D6O15</t>
  </si>
  <si>
    <t>DO6 - EL GIT CONSOLIDA EN LA ESTRATEGIA DE RDC EL CALENDARIO DE EVENTOS PARA DIFUNDIR A LA CIUDADANÍA A TRAVES DE LA PÁGINA WEB</t>
  </si>
  <si>
    <t>Bajo nivel de educación cívica y participación ciudadana</t>
  </si>
  <si>
    <t>sistematizar y analizar las encuestas de RdC permiten de manera efectiva la participación ciudadana</t>
  </si>
  <si>
    <t>D8O2</t>
  </si>
  <si>
    <t>DO7 - USAR MEDIOS ALTERNATIVOS PARA LA DIVULGACIÓN DE INFORMACIÓN CON GRUPOS FOCALES TALES COMO VÍCTIMAS, INDÍGENAS, RURALES, ETC.</t>
  </si>
  <si>
    <t>aumentar la confianza pública ciudadana</t>
  </si>
  <si>
    <t>D9O8</t>
  </si>
  <si>
    <t>DO8 - IMPLEMENTAR APLICATIVOS QUE PERMITAN LA RECOLECCIÓN DE DATOS A TRAVÉS DE HERRAMIENTAS EN LINEA QUE GARANTICEN LA CALIDAD Y EFICIENCIA DEL DATO</t>
  </si>
  <si>
    <r>
      <rPr>
        <sz val="11"/>
        <color rgb="FFFF0000"/>
        <rFont val="Calibri"/>
        <family val="2"/>
      </rPr>
      <t>Tecnología:</t>
    </r>
    <r>
      <rPr>
        <sz val="11"/>
        <rFont val="Calibri"/>
        <family val="2"/>
      </rPr>
      <t xml:space="preserve"> </t>
    </r>
  </si>
  <si>
    <r>
      <rPr>
        <sz val="11"/>
        <color rgb="FFFF0000"/>
        <rFont val="Calibri"/>
        <family val="2"/>
      </rPr>
      <t>Tecnologico:</t>
    </r>
    <r>
      <rPr>
        <sz val="11"/>
        <rFont val="Calibri"/>
        <family val="2"/>
      </rPr>
      <t xml:space="preserve"> </t>
    </r>
  </si>
  <si>
    <t>D10O12</t>
  </si>
  <si>
    <t>DO9 - MEJORAR LOS ESPACIOS DE RDC USANDO LENGUAJE CLARO EN LAS PRESENTACIONES, EXPOSICIONES Y DIÁLOGOS</t>
  </si>
  <si>
    <t xml:space="preserve">Utilizar las redes sociales para informar de manera permanente
</t>
  </si>
  <si>
    <t>D11O15</t>
  </si>
  <si>
    <t>DO10 - A TRAVES DEL GIT SE CONSOLIDA LA ESTRATEGIA PARA LA ADMINISTRACIÓN DEPARTAMENTAL</t>
  </si>
  <si>
    <t>Mantener actualizadas  la página web de la entidad y demás plataformas digitales</t>
  </si>
  <si>
    <t>D12O12</t>
  </si>
  <si>
    <t>DO11 - MEJORAR LOS ESPACIOS DE RDC USANDO LENGUAJE CLARO EN LAS PRESENTACIONES, EXPOSICIONES Y DIÁLOGOS</t>
  </si>
  <si>
    <t>Plataformas en línea, datos abiertos y herramientas interactivas permiten mayor transparencia en la gestión pública</t>
  </si>
  <si>
    <t>D13O11</t>
  </si>
  <si>
    <t xml:space="preserve">DO12 - AL MOMENTO DE DEFINIR LA RDC TENER EN CUENTA LOS DIFERENTES GRUPOS O SECTORES Y DARLE UN MAYOR ESPACIO DE TIEMPO PARA LA PARTICIPACIÓN CIUDADANA </t>
  </si>
  <si>
    <t>Las encuestas en línea permite en tiempo real atender las percepciones y necesidades de la ciudadanía</t>
  </si>
  <si>
    <t>F1O15</t>
  </si>
  <si>
    <t>FO1 - DISPONER DE UN EQUIPO DE TRABAJO INTERDISCIPLINARIO FACILITA LA COOPERACIÓN, ARTICULACIÓN Y EJECUCIÓN DE LA EFECTIVA IMPLEMENTACIÓN DE LA ESTRATEGIA DE RDC</t>
  </si>
  <si>
    <r>
      <rPr>
        <sz val="11"/>
        <color rgb="FFFF0000"/>
        <rFont val="Calibri"/>
        <family val="2"/>
      </rPr>
      <t>Estratégicos:</t>
    </r>
    <r>
      <rPr>
        <sz val="11"/>
        <rFont val="Calibri"/>
        <family val="2"/>
      </rPr>
      <t xml:space="preserve"> </t>
    </r>
  </si>
  <si>
    <r>
      <rPr>
        <sz val="11"/>
        <color rgb="FFFF0000"/>
        <rFont val="Calibri"/>
        <family val="2"/>
      </rPr>
      <t>Ambiental:</t>
    </r>
    <r>
      <rPr>
        <sz val="11"/>
        <rFont val="Calibri"/>
        <family val="2"/>
      </rPr>
      <t xml:space="preserve"> </t>
    </r>
  </si>
  <si>
    <t>F5O9</t>
  </si>
  <si>
    <t>FO2 - IMPLEMENTAR ENCUESTAS Y FORMULARIOS EN LÍNEA PARA ATENDER INQUIEDUTES DE LA CIUDADANÍA FRENTE A DIAGNÓSTIVOS, DIÁLOGOS, INFORMACIÓN, ENTRE OTROS</t>
  </si>
  <si>
    <t>La dificultad en la calidad del dato para llevar a cabo las mismas</t>
  </si>
  <si>
    <t>Capacidad institucional de la gobernación de antioquia</t>
  </si>
  <si>
    <t>Lo extenso del territorio no permite una cobertura general en la rendición de cuentas</t>
  </si>
  <si>
    <t xml:space="preserve">Conocer la realidad del territorio, para entregar una adecuada rendición </t>
  </si>
  <si>
    <t>F2A10</t>
  </si>
  <si>
    <t>FA1 - CONTAR CON LA CAPACIDAD DE UN EQUIPO INTERDISCIPLINARIO PERMITE SISTEMATIZAR LA NORMATIVIDAD PARA LA ADECUADA IMPLEMENTACIÓN DE LA ESTRATEGIA DE RDC</t>
  </si>
  <si>
    <t>Estrategia comunicacional en la invitación es improvisada</t>
  </si>
  <si>
    <t>Planeación y ejecución de audiencias con la ciudadanía</t>
  </si>
  <si>
    <t xml:space="preserve">Contar con diferentes espacios y escenarios públicos a nivel, comunal, zonal, municipal, organizaciones deportivas, comunitarias entre otras y comunidad en general quienes son nuestros usuarios y aliados estratégicos con quienes de manera directa e indirecta trabajamos y requieren contar con información institucional de lo que hacemos.
</t>
  </si>
  <si>
    <t>F3A7</t>
  </si>
  <si>
    <t xml:space="preserve">FA2 - LA ESTRATEGIA DE RENDICIÓN DE CUENTAS CON SU RESPECTIVO CRONOGRAMA, SEGUIMIENTO, EVALUACIÓN, MONITOREO Y PLANES DE MEJORA POSIBILITAN QUE LA CIUDADANIA ADQUIERA CONFIANZA EN LA GESTIÓN PÚBLICA
 </t>
  </si>
  <si>
    <t>La Rendición Pública de Cuentas sectoriales es desarticulada, debería integrar todos los actores locales y regionales del sector</t>
  </si>
  <si>
    <t>Posibilidad de hacer diagnósticos, corte de cuentas, consolidación de información, transparencia</t>
  </si>
  <si>
    <t>F4A8</t>
  </si>
  <si>
    <t>FA3 - REALIZAR AUDIENCIAS Y ESPACIOS PARTICIPATIVOS EN TERRITORIO QUE PERMITA FOCALIZARLAS POR SUBREGIÓN</t>
  </si>
  <si>
    <t>Los canales de comunicación dejan por fuera a grupos focales como víctimas, indígenas, comunidades rurales, etc.</t>
  </si>
  <si>
    <t>Desarticulación entre dependencias para recolectar la información es parcial e incompleta</t>
  </si>
  <si>
    <r>
      <rPr>
        <sz val="11"/>
        <color rgb="FFFF0000"/>
        <rFont val="Calibri"/>
        <family val="2"/>
      </rPr>
      <t>Otros:</t>
    </r>
    <r>
      <rPr>
        <sz val="11"/>
        <rFont val="Calibri"/>
        <family val="2"/>
      </rPr>
      <t xml:space="preserve"> </t>
    </r>
  </si>
  <si>
    <t xml:space="preserve">Legal: </t>
  </si>
  <si>
    <t>Muy técnica para algunos sectores que se convocan</t>
  </si>
  <si>
    <t>Altos niveles de corrupción y baja efectividad de los organismos de control</t>
  </si>
  <si>
    <t>Informar acertivamente en lenguage claro</t>
  </si>
  <si>
    <t xml:space="preserve">No existe una estructura organizada para brindar información </t>
  </si>
  <si>
    <t>Demasiada normatividad relacionada con el proceso de rendición de cuentas</t>
  </si>
  <si>
    <t>implementar las recomendaciones y hallazagos encontradas en las diferentes auditorías y en el autodiagnóstico</t>
  </si>
  <si>
    <t>Rendición poco agradable, escueta, rígida, nada amena para el público.</t>
  </si>
  <si>
    <t>Diferentes instancias de rendición de cuentas a nivel sectorial y temáticos</t>
  </si>
  <si>
    <t>Poco tiempo en el momento de la rendición con la ciudadanía</t>
  </si>
  <si>
    <t>Capacidad institucional de la gobernación de Antioquia para hacer la rendición de cuentas</t>
  </si>
  <si>
    <t>El GIT de RdC permite liderar la estrategia de RdC y su implementación de manera sistémica</t>
  </si>
  <si>
    <t>Criterios utilizados</t>
  </si>
  <si>
    <t>Baja</t>
  </si>
  <si>
    <t>Media</t>
  </si>
  <si>
    <t xml:space="preserve">MATRIZ MULTICRITERIO PARA LA PRIORIZACIÓN DE ESTRATEGIAS </t>
  </si>
  <si>
    <t>No.</t>
  </si>
  <si>
    <t>ESTRATEGIAS DOFA</t>
  </si>
  <si>
    <t>CRITERIOS UTILIZADOS</t>
  </si>
  <si>
    <t>Alta</t>
  </si>
  <si>
    <t>Nomenclatura</t>
  </si>
  <si>
    <t>Esfuerzo</t>
  </si>
  <si>
    <t>Importancia para el proceso</t>
  </si>
  <si>
    <t>Impacto en otros procesos</t>
  </si>
  <si>
    <t>Viabilidad técnica</t>
  </si>
  <si>
    <t>Viabilidad financiera</t>
  </si>
  <si>
    <t>Valoración</t>
  </si>
  <si>
    <t>Ponderación</t>
  </si>
  <si>
    <t>Priorización</t>
  </si>
  <si>
    <t>OBSERVACIONES</t>
  </si>
  <si>
    <t xml:space="preserve">DA1 - incentivar a la ciudadanía para que participe en los espacios de RDC con el suministro de transporte, refrigerios </t>
  </si>
  <si>
    <t>Consejos - mesas temáticas - refrigerios con calidad - burcar la forma de reembolsar transporte</t>
  </si>
  <si>
    <t>DA2 - incentivar a la ciudadanía para que conozca el proceso de RDC con capacitaciones especializadas</t>
  </si>
  <si>
    <t xml:space="preserve">Video </t>
  </si>
  <si>
    <t>DA3 - realizar una articulación a través del GIT con los diferentes actores para realizar RDC sectoriales, temáticas o territoriales</t>
  </si>
  <si>
    <t>Ferias de Servicios</t>
  </si>
  <si>
    <t>DO1 - el GIT realiza seguimiento a las solicitudes que haga la ciudadanía en los diferentes espacios de RDC</t>
  </si>
  <si>
    <t>PQRSD - Proceso interno para publicar en botón participa</t>
  </si>
  <si>
    <t>DO2 - el GIT realiza seguimiento a los hallazgos de los organismos de control y la auditoría independiente</t>
  </si>
  <si>
    <t>Son de cumplimiento</t>
  </si>
  <si>
    <t>DO3 - usar medios alternativos para difusión de RDC en territorio</t>
  </si>
  <si>
    <t>Emisoras - canales locales (municipios) - Mapeo de emisoras y canales (Comunicaciones) a donde llegan (cobertura)</t>
  </si>
  <si>
    <t>DO4 - fortalecer la difusión por redes con anticipación a los eventos de RDC</t>
  </si>
  <si>
    <t>manejo de redes dependencias</t>
  </si>
  <si>
    <t>DO5 - implementar analítica de datos en los avances de la gestión para una efectiva RDC</t>
  </si>
  <si>
    <t>DO6 - el GIT consolida en la estrategia de RDC el calendario de eventos para difundir a la ciudadanía a través de la página web</t>
  </si>
  <si>
    <t>DO7 - usar medios alternativos para la divulgación de información con grupos focales tales como víctimas, indígenas, rurales, etc.</t>
  </si>
  <si>
    <t>contar con equipos comunicacionales (traductores LSC y dialectos)</t>
  </si>
  <si>
    <t>DO8 - implementar aplicativos que permitan la recolección de datos a través de herramientas en línea que garanticen la calidad y eficiencia del dato</t>
  </si>
  <si>
    <t>uso de tablets - uso se argis (TIC)</t>
  </si>
  <si>
    <t>DO9 - mejorar los espacios de RDC usando lenguaje claro en las presentaciones, exposiciones y diálogos</t>
  </si>
  <si>
    <t>No uso de siglas,  tecnisismos y anglisismos</t>
  </si>
  <si>
    <t>DO10 - a través del GIT se consolida la estrategia para la administración departamental</t>
  </si>
  <si>
    <t>se realiza</t>
  </si>
  <si>
    <t>DO11 - mejorar los espacios de RDC usando lenguaje claro en las presentaciones, exposiciones y diálogos</t>
  </si>
  <si>
    <t xml:space="preserve">DO12 - al momento de definir la RDC tener en cuenta los diferentes grupos o sectores y darle un mayor espacio de tiempo para la participación ciudadana </t>
  </si>
  <si>
    <t>disposición de 2 horas más después del espacio planeado para participación - formar la cultura con los directivos</t>
  </si>
  <si>
    <t>FO1 - disponer de un equipo de trabajo interdisciplinario facilita la cooperación, articulación y ejecución de la efectiva implementación de la estrategia de RDC</t>
  </si>
  <si>
    <t>se esta cumpliendo</t>
  </si>
  <si>
    <t>FO2 - implementar encuestas y formularios en línea para atender inquietudes de la ciudadanía frente a diagnósticos, diálogos, información, entre otros</t>
  </si>
  <si>
    <t>FA1 - contar con la capacidad de un equipo interdisciplinario permite sistematizar la normatividad para la adecuada implementación de la estrategia de RDC</t>
  </si>
  <si>
    <t>FA2 - la estrategia de rendición de cuentas con su respectivo cronograma, seguimiento, evaluación, monitoreo y planes de mejora posibilitan que la ciudadanía adquiera confianza en la gestión pública</t>
  </si>
  <si>
    <t>FA3 - realizar audiencias y espacios participativos en territorio que permita focalizarlas por subregión</t>
  </si>
  <si>
    <t>Escala de criterios: 
1 = Baja 
2 = Media
3 = Alta</t>
  </si>
  <si>
    <t xml:space="preserve">Formato Mapa Riesgos </t>
  </si>
  <si>
    <t>Proceso:</t>
  </si>
  <si>
    <t>Objetivo:</t>
  </si>
  <si>
    <t>Alcance:</t>
  </si>
  <si>
    <t>Identificación del riesgo</t>
  </si>
  <si>
    <t>Análisis del riesgo inherente</t>
  </si>
  <si>
    <t>Evaluación del riesgo - Valoración de los controles</t>
  </si>
  <si>
    <t>Evaluación del riesgo - Nivel del riesgo residual</t>
  </si>
  <si>
    <t xml:space="preserve">Referencia </t>
  </si>
  <si>
    <t xml:space="preserve"> impacto</t>
  </si>
  <si>
    <t>Frecuencia con la cual se realiza la actividad</t>
  </si>
  <si>
    <t>Probabilidad Inherente</t>
  </si>
  <si>
    <t>%</t>
  </si>
  <si>
    <t>Criterios de impacto</t>
  </si>
  <si>
    <t>Observación de criterio</t>
  </si>
  <si>
    <t>Impacto 
Inherente</t>
  </si>
  <si>
    <t>Subcausas</t>
  </si>
  <si>
    <t>No. Control</t>
  </si>
  <si>
    <t>Atributos</t>
  </si>
  <si>
    <t>Probabilidad Residual</t>
  </si>
  <si>
    <t>Probabilidad Residual Final</t>
  </si>
  <si>
    <t>Impacto Residual Final</t>
  </si>
  <si>
    <t>Zona de Riesgo Final</t>
  </si>
  <si>
    <t>Tipo</t>
  </si>
  <si>
    <t>Implementación</t>
  </si>
  <si>
    <t>Calificación</t>
  </si>
  <si>
    <t>Documentación</t>
  </si>
  <si>
    <t>Frecuencia</t>
  </si>
  <si>
    <t>Evidencia</t>
  </si>
  <si>
    <t>Objetivo del Proceso</t>
  </si>
  <si>
    <t>IDENTIFICACIÓN DEL RIESGO</t>
  </si>
  <si>
    <t>ANÁLISIS DE RIESGOS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</si>
  <si>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</si>
  <si>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</si>
  <si>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</si>
  <si>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</si>
  <si>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</si>
  <si>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</si>
  <si>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</si>
  <si>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</si>
  <si>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</si>
  <si>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</si>
  <si>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</si>
  <si>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</si>
  <si>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</si>
  <si>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</si>
  <si>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</si>
  <si>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</si>
  <si>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</si>
  <si>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</si>
  <si>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</si>
  <si>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RESPUESTAS AFIRMATIVAS</t>
  </si>
  <si>
    <t>PROBABILIDAD RIESGO INHERENTE</t>
  </si>
  <si>
    <t xml:space="preserve"> IMPACTO RIESGO INHERENTE</t>
  </si>
  <si>
    <t>NIVEL O ZONA DE RIESGO INHERENTE</t>
  </si>
  <si>
    <t>Diseño de controles</t>
  </si>
  <si>
    <t>Valoración de los Controles</t>
  </si>
  <si>
    <t>Riesgo Residual</t>
  </si>
  <si>
    <t>Riesgo</t>
  </si>
  <si>
    <t>Descripción</t>
  </si>
  <si>
    <t>Acción y Omisión</t>
  </si>
  <si>
    <t>Uso del Poder</t>
  </si>
  <si>
    <t>Desviar la gestión de lo público</t>
  </si>
  <si>
    <t>Beneficio particular</t>
  </si>
  <si>
    <t>Tipo de riesgo</t>
  </si>
  <si>
    <t>Causas</t>
  </si>
  <si>
    <t>Consecuencias</t>
  </si>
  <si>
    <t>Nivel P</t>
  </si>
  <si>
    <t>Nivel I</t>
  </si>
  <si>
    <t>Valor Zona de Riesgo</t>
  </si>
  <si>
    <t>Tratamiento del Riesgo</t>
  </si>
  <si>
    <t>DESCRIPCIÓN CONTROL</t>
  </si>
  <si>
    <t>NATURALEZA DEL CONTROL</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</si>
  <si>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</si>
  <si>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</si>
  <si>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</si>
  <si>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</si>
  <si>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</si>
  <si>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</si>
  <si>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</si>
  <si>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Sumatoría Puntaje Valoración de los controles</t>
  </si>
  <si>
    <t>RANGO DE CALIFICACIÓN DEL DISEÑO</t>
  </si>
  <si>
    <t>RANGO DE CALIFICACIÓN DE LA EJECUCIÓN</t>
  </si>
  <si>
    <t>SOLIDEZ INDIVIDUAL DE CADA CONTROL</t>
  </si>
  <si>
    <t>VALOR SOLIDÉZ DEL CONJUNTO DE CONTROLES</t>
  </si>
  <si>
    <t>TEXTO SOLIDEZ DEL CONJUNTO DE CONTROLES</t>
  </si>
  <si>
    <t># DE COLUMNAS EN EL MAPA DE CALOR QUE SE DESPLAZA EN EL EJE DE LA PROBABILIDAD</t>
  </si>
  <si>
    <t>PROBABILIDAD RIESGO RESIDUAL</t>
  </si>
  <si>
    <t>Nivel P Inherente</t>
  </si>
  <si>
    <t>IMPACTO RIESGO RESIDUAL</t>
  </si>
  <si>
    <t>ZONA DE RIESGO RESIDUAL</t>
  </si>
  <si>
    <t>Compartir</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</si>
  <si>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</si>
  <si>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</si>
  <si>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</si>
  <si>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</si>
  <si>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</si>
  <si>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</si>
  <si>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</si>
  <si>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</si>
  <si>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</si>
  <si>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</si>
  <si>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</si>
  <si>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</si>
  <si>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</si>
  <si>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</si>
  <si>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</si>
  <si>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</si>
  <si>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</si>
  <si>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</si>
  <si>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</si>
  <si>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</si>
  <si>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</si>
  <si>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</si>
  <si>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</si>
  <si>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</si>
  <si>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</si>
  <si>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</si>
  <si>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</si>
  <si>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</si>
  <si>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</si>
  <si>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</si>
  <si>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</si>
  <si>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</si>
  <si>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</si>
  <si>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</si>
  <si>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</si>
  <si>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</si>
  <si>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</si>
  <si>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</si>
  <si>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</si>
  <si>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</si>
  <si>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</si>
  <si>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</si>
  <si>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</si>
  <si>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</si>
  <si>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</si>
  <si>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</si>
  <si>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</si>
  <si>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</si>
  <si>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</si>
  <si>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</si>
  <si>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</si>
  <si>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</si>
  <si>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</si>
  <si>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</si>
  <si>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</si>
  <si>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</si>
  <si>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</si>
  <si>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</si>
  <si>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</si>
  <si>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</si>
  <si>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</si>
  <si>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</si>
  <si>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</si>
  <si>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</si>
  <si>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</si>
  <si>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</si>
  <si>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</si>
  <si>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</si>
  <si>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</si>
  <si>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</si>
  <si>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</si>
  <si>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</si>
  <si>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</si>
  <si>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</si>
  <si>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</si>
  <si>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</si>
  <si>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</si>
  <si>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</si>
  <si>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</si>
  <si>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</si>
  <si>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</si>
  <si>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</si>
  <si>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</si>
  <si>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</si>
  <si>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</si>
  <si>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</si>
  <si>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</si>
  <si>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</si>
  <si>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</si>
  <si>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</si>
  <si>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</si>
  <si>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</si>
  <si>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</si>
  <si>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</si>
  <si>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</si>
  <si>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Riesgo Inherente y Residual</t>
  </si>
  <si>
    <t>Impacto Riesgos Corrupción</t>
  </si>
  <si>
    <t>Solidéz Indivudual de Cada Control</t>
  </si>
  <si>
    <t>Preguntas Valoración de los controles</t>
  </si>
  <si>
    <t>Puntaje  Controles</t>
  </si>
  <si>
    <t>Puntaje</t>
  </si>
  <si>
    <t>Concatenar</t>
  </si>
  <si>
    <t>Zona de Calor</t>
  </si>
  <si>
    <t>Tipo de Riesgo</t>
  </si>
  <si>
    <t>Naturaleza del Control</t>
  </si>
  <si>
    <t>Opción Manejo del Riesgo</t>
  </si>
  <si>
    <t>Si / No</t>
  </si>
  <si>
    <t>Numero</t>
  </si>
  <si>
    <t>Concepto</t>
  </si>
  <si>
    <t>Rango Calificación de la Ejecución</t>
  </si>
  <si>
    <t>Formula</t>
  </si>
  <si>
    <t>Resultado</t>
  </si>
  <si>
    <t>Valor</t>
  </si>
  <si>
    <t>Respuesta</t>
  </si>
  <si>
    <t>PROCESO</t>
  </si>
  <si>
    <t>RARA VEZ</t>
  </si>
  <si>
    <t>INSIGNIFICANTE</t>
  </si>
  <si>
    <t>11</t>
  </si>
  <si>
    <t>BAJO</t>
  </si>
  <si>
    <t>Ambiental</t>
  </si>
  <si>
    <t>Administración de los Tributos</t>
  </si>
  <si>
    <t>Reducir</t>
  </si>
  <si>
    <t>Si</t>
  </si>
  <si>
    <t>MODERADO</t>
  </si>
  <si>
    <t>Fuerte</t>
  </si>
  <si>
    <t>Fuerte+Fuerte</t>
  </si>
  <si>
    <t>Asignado</t>
  </si>
  <si>
    <t>Adecuado</t>
  </si>
  <si>
    <t>Oportuna</t>
  </si>
  <si>
    <t>Prevenir</t>
  </si>
  <si>
    <t>Confiable</t>
  </si>
  <si>
    <t>Se investigan y se resuelven oportunamente</t>
  </si>
  <si>
    <t>Completa</t>
  </si>
  <si>
    <t>Gestión de la Información</t>
  </si>
  <si>
    <t>IMPROBABLE</t>
  </si>
  <si>
    <t>MENOR</t>
  </si>
  <si>
    <t>12</t>
  </si>
  <si>
    <t>Cumplimiento</t>
  </si>
  <si>
    <t>Adquisición de Bienes y Servicios</t>
  </si>
  <si>
    <t>No</t>
  </si>
  <si>
    <t>Fuerte+Moderado</t>
  </si>
  <si>
    <t>No asignado</t>
  </si>
  <si>
    <t>Inadecuado</t>
  </si>
  <si>
    <t>Inoportuna</t>
  </si>
  <si>
    <t>Detectar</t>
  </si>
  <si>
    <t>No confiable</t>
  </si>
  <si>
    <t>No se investigan y se resuelven oportunamente</t>
  </si>
  <si>
    <t>Incompleta</t>
  </si>
  <si>
    <t>Gestión Integral del Talento Humano</t>
  </si>
  <si>
    <t>POSIBLE</t>
  </si>
  <si>
    <t>13</t>
  </si>
  <si>
    <t>Estratégico</t>
  </si>
  <si>
    <t>Atención Ciudadana</t>
  </si>
  <si>
    <t>Transferir</t>
  </si>
  <si>
    <t>Sin Autoevaluación</t>
  </si>
  <si>
    <t>Débil</t>
  </si>
  <si>
    <t>Fuerte+Débil</t>
  </si>
  <si>
    <t>No es un control</t>
  </si>
  <si>
    <t>No existe</t>
  </si>
  <si>
    <t>Servicio a la Ciudadanía</t>
  </si>
  <si>
    <t>PROBABLE</t>
  </si>
  <si>
    <t>MAYOR</t>
  </si>
  <si>
    <t>14</t>
  </si>
  <si>
    <t>ALTO</t>
  </si>
  <si>
    <t>Financiero</t>
  </si>
  <si>
    <t>Comunicación Pública</t>
  </si>
  <si>
    <t>Moderado+Fuerte</t>
  </si>
  <si>
    <t>Gestión Social del Riesgo</t>
  </si>
  <si>
    <t>CASI SEGURO</t>
  </si>
  <si>
    <t>CATASTROFICO</t>
  </si>
  <si>
    <t>15</t>
  </si>
  <si>
    <t>Imagen o Reputacional</t>
  </si>
  <si>
    <t>Control Disciplinario</t>
  </si>
  <si>
    <t>Moderado+Moderado</t>
  </si>
  <si>
    <t>Gestión Ambiental</t>
  </si>
  <si>
    <t>21</t>
  </si>
  <si>
    <t>Operativo</t>
  </si>
  <si>
    <t>Desarrollo del Talento Humano</t>
  </si>
  <si>
    <t>Moderado+Débil</t>
  </si>
  <si>
    <t>Hacienda Pública</t>
  </si>
  <si>
    <t>22</t>
  </si>
  <si>
    <t>Seguridad Digital</t>
  </si>
  <si>
    <t>Direccionamiento Estratégico</t>
  </si>
  <si>
    <t>Débil+Fuerte</t>
  </si>
  <si>
    <t>Comunicaciones</t>
  </si>
  <si>
    <t>23</t>
  </si>
  <si>
    <t>Tecnológico</t>
  </si>
  <si>
    <t>Estructura Organizacional y Empleo Público</t>
  </si>
  <si>
    <t>Débil+Moderado</t>
  </si>
  <si>
    <t>Infraestructura Física</t>
  </si>
  <si>
    <t>24</t>
  </si>
  <si>
    <t>Corrupción</t>
  </si>
  <si>
    <t>Evaluación Independiente y Cultura del Control</t>
  </si>
  <si>
    <t>Débil+Débil</t>
  </si>
  <si>
    <t>Gestión Cultural</t>
  </si>
  <si>
    <t>25</t>
  </si>
  <si>
    <t>EXTREMO</t>
  </si>
  <si>
    <t>Fortalecimiento Institucional y de la Participación Ciudadana</t>
  </si>
  <si>
    <t>Movilidad</t>
  </si>
  <si>
    <t>31</t>
  </si>
  <si>
    <t>Gestión del Riesgo de Desastres</t>
  </si>
  <si>
    <t>32</t>
  </si>
  <si>
    <t>Gestión de la Mejora Continua</t>
  </si>
  <si>
    <t>Control Urbanístico</t>
  </si>
  <si>
    <t>33</t>
  </si>
  <si>
    <t>Gestión de la Prestación del Servicio Educativo</t>
  </si>
  <si>
    <t>Tecnología de la información y de las comunicaciones</t>
  </si>
  <si>
    <t>34</t>
  </si>
  <si>
    <t>Gestión de la Seguridad Ciudadada y Pública</t>
  </si>
  <si>
    <t>35</t>
  </si>
  <si>
    <t>Gestión de la Tecnología e Información</t>
  </si>
  <si>
    <t>Catastro</t>
  </si>
  <si>
    <t>41</t>
  </si>
  <si>
    <t>Gestión de los Activos Inmobiliarios</t>
  </si>
  <si>
    <t>Servicios Públicos Domiciliarios y no Domiciliarios</t>
  </si>
  <si>
    <t>42</t>
  </si>
  <si>
    <t>Gestión del Gobierno, Apoyo al Desarrollo Institucional y Derechos Humanos</t>
  </si>
  <si>
    <t>Gestión de la Seguridad</t>
  </si>
  <si>
    <t>43</t>
  </si>
  <si>
    <t>Mantenimiento Bienes Muebles e Inmuebles</t>
  </si>
  <si>
    <t>44</t>
  </si>
  <si>
    <t>Gestión Documental</t>
  </si>
  <si>
    <t>Desarrollo Económico</t>
  </si>
  <si>
    <t>45</t>
  </si>
  <si>
    <t>Gestión en Salud</t>
  </si>
  <si>
    <t>Fortalecimiento de la Ciudadanía</t>
  </si>
  <si>
    <t>51</t>
  </si>
  <si>
    <t>Gestión Financiera</t>
  </si>
  <si>
    <t>Evaluación y Mejora</t>
  </si>
  <si>
    <t>52</t>
  </si>
  <si>
    <t>Gestión Jurídica</t>
  </si>
  <si>
    <t>53</t>
  </si>
  <si>
    <t>Gestión Minera</t>
  </si>
  <si>
    <t>Educación</t>
  </si>
  <si>
    <t>54</t>
  </si>
  <si>
    <t>Inclusión Social y Familia</t>
  </si>
  <si>
    <t>Administración Bienes Muebles e Inmuebles</t>
  </si>
  <si>
    <t>55</t>
  </si>
  <si>
    <t>Promoción del Desarrollo de Infraestructura</t>
  </si>
  <si>
    <t>Gobierno Local</t>
  </si>
  <si>
    <t>Promoción del Desarrollo Económico</t>
  </si>
  <si>
    <t>Salud</t>
  </si>
  <si>
    <t>Seguridad y Salud en el Trabajo</t>
  </si>
  <si>
    <t>Soporte Logístico</t>
  </si>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</sst>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sz val="12"/>
      <color indexed="8"/>
      <name val="Arial"/>
      <family val="2"/>
    </font>
    <font>
      <sz val="12"/>
      <name val="Arial"/>
      <family val="2"/>
    </font>
    <font>
      <sz val="10"/>
      <color rgb="FF000000"/>
      <name val="Arial"/>
      <family val="2"/>
    </font>
    <font>
      <b/>
      <sz val="16"/>
      <name val="Arial"/>
      <family val="2"/>
    </font>
    <font>
      <b/>
      <sz val="11"/>
      <name val="Arial"/>
      <family val="2"/>
    </font>
    <font>
      <b/>
      <sz val="25"/>
      <name val="Arial"/>
      <family val="2"/>
    </font>
    <font>
      <b/>
      <sz val="14"/>
      <name val="Calibri"/>
      <family val="2"/>
      <scheme val="minor"/>
    </font>
    <font>
      <b/>
      <sz val="10"/>
      <name val="Arial"/>
      <family val="2"/>
    </font>
    <font>
      <b/>
      <sz val="14"/>
      <name val="Arial"/>
      <family val="2"/>
    </font>
    <font>
      <b/>
      <sz val="12"/>
      <name val="Arial"/>
      <family val="2"/>
    </font>
    <font>
      <b/>
      <sz val="11"/>
      <name val="Calibri"/>
      <family val="2"/>
    </font>
    <font>
      <sz val="12"/>
      <color theme="1"/>
      <name val="Arial"/>
      <family val="2"/>
    </font>
    <font>
      <sz val="10"/>
      <name val="Calibri"/>
      <family val="2"/>
      <scheme val="minor"/>
    </font>
    <font>
      <b/>
      <sz val="10"/>
      <name val="Calibri"/>
      <family val="2"/>
      <scheme val="minor"/>
    </font>
    <font>
      <sz val="9"/>
      <name val="Arial"/>
      <family val="2"/>
    </font>
    <font>
      <b/>
      <sz val="9"/>
      <name val="Arial"/>
      <family val="2"/>
    </font>
    <font>
      <b/>
      <sz val="14"/>
      <color indexed="81"/>
      <name val="Arial"/>
      <family val="2"/>
    </font>
    <font>
      <sz val="14"/>
      <color indexed="81"/>
      <name val="Arial"/>
      <family val="2"/>
    </font>
    <font>
      <b/>
      <sz val="12"/>
      <color indexed="81"/>
      <name val="Arial"/>
      <family val="2"/>
    </font>
    <font>
      <b/>
      <u/>
      <sz val="12"/>
      <color indexed="81"/>
      <name val="Arial"/>
      <family val="2"/>
    </font>
    <font>
      <sz val="12"/>
      <color indexed="81"/>
      <name val="Arial"/>
      <family val="2"/>
    </font>
    <font>
      <u/>
      <sz val="12"/>
      <color indexed="81"/>
      <name val="Arial"/>
      <family val="2"/>
    </font>
    <font>
      <sz val="9"/>
      <color indexed="81"/>
      <name val="Tahoma"/>
      <family val="2"/>
    </font>
    <font>
      <b/>
      <sz val="14"/>
      <color rgb="FF000000"/>
      <name val="Arial"/>
      <family val="2"/>
    </font>
    <font>
      <sz val="14"/>
      <color rgb="FF000000"/>
      <name val="Arial"/>
      <family val="2"/>
    </font>
    <font>
      <sz val="11"/>
      <color rgb="FF000000"/>
      <name val="Tahoma"/>
      <family val="2"/>
    </font>
    <font>
      <sz val="9"/>
      <color indexed="81"/>
      <name val="Tahoma"/>
      <charset val="1"/>
    </font>
    <font>
      <sz val="8"/>
      <name val="Arial"/>
      <family val="2"/>
    </font>
    <font>
      <b/>
      <sz val="9"/>
      <color indexed="81"/>
      <name val="Tahoma"/>
      <family val="2"/>
    </font>
    <font>
      <sz val="11"/>
      <color indexed="8"/>
      <name val="Arial"/>
      <family val="2"/>
    </font>
    <font>
      <sz val="11"/>
      <name val="Arial"/>
      <family val="2"/>
    </font>
    <font>
      <b/>
      <sz val="11"/>
      <color rgb="FF000000"/>
      <name val="Calibri"/>
      <family val="2"/>
    </font>
    <font>
      <sz val="12"/>
      <name val="Calibri"/>
      <family val="2"/>
    </font>
    <font>
      <b/>
      <sz val="10"/>
      <name val="Calibri"/>
      <family val="2"/>
    </font>
    <font>
      <sz val="11"/>
      <color theme="1"/>
      <name val="Calibri"/>
      <family val="2"/>
    </font>
    <font>
      <sz val="11"/>
      <name val="Calibri"/>
      <family val="2"/>
    </font>
    <font>
      <sz val="11"/>
      <color rgb="FFFF0000"/>
      <name val="Calibri"/>
      <family val="2"/>
    </font>
    <font>
      <sz val="9"/>
      <color rgb="FF333333"/>
      <name val="Arial Narrow"/>
      <family val="2"/>
    </font>
    <font>
      <sz val="9"/>
      <color theme="1"/>
      <name val="Arial Narrow"/>
      <family val="2"/>
    </font>
    <font>
      <sz val="9"/>
      <color theme="1"/>
      <name val="Calibri"/>
      <family val="2"/>
      <scheme val="minor"/>
    </font>
    <font>
      <b/>
      <sz val="16"/>
      <color theme="1"/>
      <name val="Arial"/>
      <family val="2"/>
    </font>
    <font>
      <b/>
      <sz val="22"/>
      <color theme="1"/>
      <name val="Arial"/>
      <family val="2"/>
    </font>
    <font>
      <b/>
      <sz val="20"/>
      <color theme="1"/>
      <name val="Arial"/>
      <family val="2"/>
    </font>
    <font>
      <b/>
      <sz val="18"/>
      <color rgb="FF000000"/>
      <name val="Arial"/>
      <family val="2"/>
    </font>
    <font>
      <b/>
      <sz val="12"/>
      <color theme="1"/>
      <name val="Arial Narrow"/>
      <family val="2"/>
    </font>
    <font>
      <b/>
      <sz val="12"/>
      <color rgb="FF333333"/>
      <name val="Arial Narrow"/>
      <family val="2"/>
    </font>
    <font>
      <b/>
      <sz val="12"/>
      <color rgb="FFFF0000"/>
      <name val="Arial Narrow"/>
      <family val="2"/>
    </font>
    <font>
      <b/>
      <sz val="28"/>
      <color indexed="8"/>
      <name val="Arial"/>
      <family val="2"/>
    </font>
    <font>
      <b/>
      <sz val="25"/>
      <color theme="1"/>
      <name val="Arial"/>
      <family val="2"/>
    </font>
    <font>
      <sz val="11"/>
      <color rgb="FF000000"/>
      <name val="Calibri"/>
      <family val="2"/>
      <scheme val="minor"/>
    </font>
  </fonts>
  <fills count="4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indexed="9"/>
        <bgColor indexed="64"/>
      </patternFill>
    </fill>
    <fill>
      <patternFill patternType="solid">
        <fgColor rgb="FF99CC00"/>
        <bgColor indexed="64"/>
      </patternFill>
    </fill>
    <fill>
      <patternFill patternType="solid">
        <fgColor rgb="FF99CC00"/>
        <bgColor rgb="FF000000"/>
      </patternFill>
    </fill>
    <fill>
      <patternFill patternType="solid">
        <fgColor rgb="FFFFE699"/>
        <bgColor rgb="FF000000"/>
      </patternFill>
    </fill>
    <fill>
      <patternFill patternType="solid">
        <fgColor rgb="FFFFE699"/>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79998168889431442"/>
        <bgColor rgb="FF000000"/>
      </patternFill>
    </fill>
    <fill>
      <patternFill patternType="solid">
        <fgColor theme="7" tint="0.59999389629810485"/>
        <bgColor indexed="64"/>
      </patternFill>
    </fill>
    <fill>
      <patternFill patternType="solid">
        <fgColor theme="7" tint="0.79998168889431442"/>
        <bgColor rgb="FF000000"/>
      </patternFill>
    </fill>
    <fill>
      <patternFill patternType="solid">
        <fgColor rgb="FF7DFB5B"/>
        <bgColor indexed="64"/>
      </patternFill>
    </fill>
    <fill>
      <patternFill patternType="solid">
        <fgColor theme="7"/>
        <bgColor indexed="64"/>
      </patternFill>
    </fill>
    <fill>
      <patternFill patternType="solid">
        <fgColor theme="1" tint="0.14999847407452621"/>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14999847407452621"/>
        <bgColor rgb="FF000000"/>
      </patternFill>
    </fill>
    <fill>
      <patternFill patternType="solid">
        <fgColor theme="6" tint="0.39997558519241921"/>
        <bgColor rgb="FF000000"/>
      </patternFill>
    </fill>
    <fill>
      <patternFill patternType="solid">
        <fgColor theme="6" tint="0.79998168889431442"/>
        <bgColor indexed="64"/>
      </patternFill>
    </fill>
    <fill>
      <patternFill patternType="solid">
        <fgColor theme="4" tint="0.59999389629810485"/>
        <bgColor indexed="64"/>
      </patternFill>
    </fill>
    <fill>
      <patternFill patternType="solid">
        <fgColor rgb="FFC4D79B"/>
        <bgColor indexed="64"/>
      </patternFill>
    </fill>
    <fill>
      <patternFill patternType="solid">
        <fgColor rgb="FFEBF1DE"/>
        <bgColor indexed="64"/>
      </patternFill>
    </fill>
    <fill>
      <patternFill patternType="solid">
        <fgColor rgb="FFB8CCE4"/>
        <bgColor indexed="64"/>
      </patternFill>
    </fill>
    <fill>
      <patternFill patternType="solid">
        <fgColor rgb="FFDCE6F1"/>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8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40" xfId="0" applyNumberFormat="1"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5" xfId="0" applyNumberFormat="1" applyFont="1" applyFill="1" applyBorder="1" applyAlignment="1">
      <alignment horizontal="center" vertical="center" wrapText="1" readingOrder="1"/>
    </xf>
    <xf numFmtId="0" fontId="39" fillId="3" borderId="35"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9" fillId="3" borderId="37" xfId="0" applyFont="1" applyFill="1" applyBorder="1" applyAlignment="1">
      <alignment horizontal="justify" vertical="center" wrapText="1" readingOrder="1"/>
    </xf>
    <xf numFmtId="0" fontId="39" fillId="3" borderId="38" xfId="0" applyFont="1" applyFill="1" applyBorder="1" applyAlignment="1">
      <alignment horizontal="center" vertical="center" wrapText="1" readingOrder="1"/>
    </xf>
    <xf numFmtId="0" fontId="47" fillId="3" borderId="0" xfId="0" applyFont="1" applyFill="1"/>
    <xf numFmtId="0" fontId="38" fillId="15" borderId="42" xfId="0" applyFont="1" applyFill="1" applyBorder="1" applyAlignment="1">
      <alignment horizontal="center" vertical="center" wrapText="1" readingOrder="1"/>
    </xf>
    <xf numFmtId="0" fontId="38" fillId="15" borderId="43"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justify" vertical="top"/>
      <protection locked="0"/>
    </xf>
    <xf numFmtId="0" fontId="4" fillId="2" borderId="10" xfId="0" applyFont="1" applyFill="1" applyBorder="1" applyAlignment="1">
      <alignment horizontal="center" vertical="center"/>
    </xf>
    <xf numFmtId="0" fontId="4" fillId="0" borderId="4" xfId="0" applyFont="1" applyBorder="1" applyAlignment="1" applyProtection="1">
      <alignment horizontal="center" vertical="top"/>
      <protection hidden="1"/>
    </xf>
    <xf numFmtId="0" fontId="25" fillId="2" borderId="10" xfId="0" applyFont="1" applyFill="1" applyBorder="1" applyAlignment="1">
      <alignment horizontal="left" vertical="center"/>
    </xf>
    <xf numFmtId="0" fontId="8" fillId="3" borderId="0" xfId="0" applyFont="1" applyFill="1" applyAlignment="1" applyProtection="1">
      <alignment horizontal="left" vertical="center"/>
      <protection locked="0"/>
    </xf>
    <xf numFmtId="0" fontId="8" fillId="3" borderId="0" xfId="0" applyFont="1" applyFill="1" applyAlignment="1" applyProtection="1">
      <alignment horizontal="left" vertical="center" wrapText="1"/>
      <protection locked="0"/>
    </xf>
    <xf numFmtId="0" fontId="25" fillId="2" borderId="6" xfId="0" applyFont="1" applyFill="1" applyBorder="1" applyAlignment="1">
      <alignment horizontal="left" vertical="center"/>
    </xf>
    <xf numFmtId="0" fontId="60" fillId="17" borderId="30" xfId="0" applyFont="1" applyFill="1" applyBorder="1" applyAlignment="1">
      <alignment vertical="center"/>
    </xf>
    <xf numFmtId="0" fontId="61" fillId="17" borderId="30" xfId="0" applyFont="1" applyFill="1" applyBorder="1" applyAlignment="1">
      <alignment vertical="center"/>
    </xf>
    <xf numFmtId="0" fontId="61" fillId="17" borderId="30" xfId="0" applyFont="1" applyFill="1" applyBorder="1" applyAlignment="1">
      <alignment horizontal="left" vertical="center" wrapText="1"/>
    </xf>
    <xf numFmtId="0" fontId="63" fillId="18" borderId="30" xfId="0" applyFont="1" applyFill="1" applyBorder="1" applyAlignment="1">
      <alignment horizontal="left" vertical="center" wrapText="1"/>
    </xf>
    <xf numFmtId="0" fontId="67" fillId="0" borderId="0" xfId="0" applyFont="1" applyProtection="1">
      <protection locked="0"/>
    </xf>
    <xf numFmtId="0" fontId="66" fillId="21" borderId="59" xfId="0" applyFont="1" applyFill="1" applyBorder="1" applyAlignment="1" applyProtection="1">
      <alignment vertical="center"/>
      <protection locked="0"/>
    </xf>
    <xf numFmtId="0" fontId="66" fillId="22" borderId="55" xfId="0" applyFont="1" applyFill="1" applyBorder="1" applyAlignment="1" applyProtection="1">
      <alignment horizontal="center" vertical="center"/>
      <protection locked="0"/>
    </xf>
    <xf numFmtId="0" fontId="66" fillId="25" borderId="55" xfId="0" applyFont="1" applyFill="1" applyBorder="1" applyAlignment="1" applyProtection="1">
      <alignment vertical="center" wrapText="1"/>
      <protection locked="0"/>
    </xf>
    <xf numFmtId="0" fontId="66" fillId="0" borderId="0" xfId="0" applyFont="1" applyAlignment="1" applyProtection="1">
      <alignment horizontal="center"/>
      <protection locked="0"/>
    </xf>
    <xf numFmtId="0" fontId="68" fillId="18" borderId="58" xfId="0" applyFont="1" applyFill="1" applyBorder="1" applyAlignment="1" applyProtection="1">
      <alignment horizontal="center" vertical="center" wrapText="1"/>
      <protection locked="0"/>
    </xf>
    <xf numFmtId="0" fontId="68" fillId="18" borderId="59" xfId="0" applyFont="1" applyFill="1" applyBorder="1" applyAlignment="1" applyProtection="1">
      <alignment horizontal="center" vertical="center" wrapText="1"/>
      <protection locked="0"/>
    </xf>
    <xf numFmtId="0" fontId="68" fillId="18" borderId="55" xfId="0" applyFont="1" applyFill="1" applyBorder="1" applyAlignment="1" applyProtection="1">
      <alignment horizontal="center" vertical="center" wrapText="1"/>
      <protection locked="0"/>
    </xf>
    <xf numFmtId="0" fontId="68" fillId="18" borderId="51" xfId="0" applyFont="1" applyFill="1" applyBorder="1" applyAlignment="1" applyProtection="1">
      <alignment horizontal="center" vertical="center" wrapText="1"/>
      <protection locked="0"/>
    </xf>
    <xf numFmtId="0" fontId="68" fillId="19" borderId="51" xfId="0" applyFont="1" applyFill="1" applyBorder="1" applyAlignment="1" applyProtection="1">
      <alignment horizontal="center" vertical="center" wrapText="1"/>
      <protection locked="0"/>
    </xf>
    <xf numFmtId="0" fontId="68" fillId="19" borderId="0" xfId="0" applyFont="1" applyFill="1" applyAlignment="1" applyProtection="1">
      <alignment horizontal="center" vertical="center" wrapText="1"/>
      <protection locked="0"/>
    </xf>
    <xf numFmtId="0" fontId="68" fillId="19" borderId="59" xfId="0" applyFont="1" applyFill="1" applyBorder="1" applyAlignment="1" applyProtection="1">
      <alignment horizontal="center" vertical="center" wrapText="1"/>
      <protection locked="0"/>
    </xf>
    <xf numFmtId="0" fontId="68" fillId="19" borderId="15" xfId="0" applyFont="1" applyFill="1" applyBorder="1" applyAlignment="1" applyProtection="1">
      <alignment horizontal="center" vertical="center" wrapText="1"/>
      <protection locked="0"/>
    </xf>
    <xf numFmtId="0" fontId="70" fillId="20" borderId="59" xfId="0" applyFont="1" applyFill="1" applyBorder="1" applyAlignment="1" applyProtection="1">
      <alignment horizontal="center" vertical="center" wrapText="1"/>
      <protection locked="0"/>
    </xf>
    <xf numFmtId="0" fontId="70" fillId="27" borderId="55" xfId="0" applyFont="1" applyFill="1" applyBorder="1" applyAlignment="1" applyProtection="1">
      <alignment vertical="center" wrapText="1"/>
      <protection locked="0"/>
    </xf>
    <xf numFmtId="0" fontId="70" fillId="28" borderId="59" xfId="0" applyFont="1" applyFill="1" applyBorder="1" applyAlignment="1" applyProtection="1">
      <alignment horizontal="center" vertical="center" wrapText="1"/>
      <protection locked="0"/>
    </xf>
    <xf numFmtId="0" fontId="69" fillId="18" borderId="51" xfId="0" applyFont="1" applyFill="1" applyBorder="1" applyAlignment="1" applyProtection="1">
      <alignment horizontal="center" vertical="center" wrapText="1"/>
      <protection locked="0"/>
    </xf>
    <xf numFmtId="0" fontId="69" fillId="18" borderId="59" xfId="0" applyFont="1" applyFill="1" applyBorder="1" applyAlignment="1" applyProtection="1">
      <alignment horizontal="center" vertical="center" wrapText="1"/>
      <protection locked="0"/>
    </xf>
    <xf numFmtId="0" fontId="64" fillId="18" borderId="59" xfId="0" applyFont="1" applyFill="1" applyBorder="1" applyAlignment="1" applyProtection="1">
      <alignment horizontal="center" vertical="center" wrapText="1"/>
      <protection locked="0"/>
    </xf>
    <xf numFmtId="0" fontId="68" fillId="24" borderId="59" xfId="0" applyFont="1" applyFill="1" applyBorder="1" applyAlignment="1" applyProtection="1">
      <alignment horizontal="center" vertical="center" wrapText="1"/>
      <protection locked="0"/>
    </xf>
    <xf numFmtId="0" fontId="70" fillId="25" borderId="55" xfId="0" applyFont="1" applyFill="1" applyBorder="1" applyAlignment="1" applyProtection="1">
      <alignment vertical="center" wrapText="1"/>
      <protection locked="0"/>
    </xf>
    <xf numFmtId="0" fontId="48" fillId="29" borderId="32" xfId="0" applyFont="1" applyFill="1" applyBorder="1" applyProtection="1">
      <protection locked="0"/>
    </xf>
    <xf numFmtId="0" fontId="48" fillId="29" borderId="33" xfId="0" applyFont="1" applyFill="1" applyBorder="1" applyProtection="1">
      <protection locked="0"/>
    </xf>
    <xf numFmtId="0" fontId="0" fillId="29" borderId="33" xfId="0" applyFill="1" applyBorder="1"/>
    <xf numFmtId="0" fontId="48" fillId="29" borderId="44" xfId="0" applyFont="1" applyFill="1" applyBorder="1" applyProtection="1">
      <protection locked="0"/>
    </xf>
    <xf numFmtId="0" fontId="48" fillId="30" borderId="0" xfId="0" applyFont="1" applyFill="1" applyProtection="1">
      <protection locked="0"/>
    </xf>
    <xf numFmtId="0" fontId="48" fillId="0" borderId="0" xfId="0" applyFont="1" applyProtection="1">
      <protection locked="0"/>
    </xf>
    <xf numFmtId="0" fontId="61" fillId="31" borderId="62" xfId="0" applyFont="1" applyFill="1" applyBorder="1" applyAlignment="1">
      <alignment vertical="center" wrapText="1"/>
    </xf>
    <xf numFmtId="0" fontId="61" fillId="31" borderId="62" xfId="0" applyFont="1" applyFill="1" applyBorder="1" applyAlignment="1">
      <alignment horizontal="justify" vertical="center" wrapText="1"/>
    </xf>
    <xf numFmtId="0" fontId="61" fillId="31" borderId="30" xfId="0" applyFont="1" applyFill="1" applyBorder="1" applyAlignment="1">
      <alignment vertical="center" wrapText="1"/>
    </xf>
    <xf numFmtId="0" fontId="61" fillId="31" borderId="30" xfId="0" applyFont="1" applyFill="1" applyBorder="1" applyAlignment="1">
      <alignment horizontal="justify" vertical="center" wrapText="1"/>
    </xf>
    <xf numFmtId="0" fontId="61" fillId="31" borderId="37" xfId="0" applyFont="1" applyFill="1" applyBorder="1" applyAlignment="1">
      <alignment vertical="center" wrapText="1"/>
    </xf>
    <xf numFmtId="0" fontId="61" fillId="31" borderId="37" xfId="0" applyFont="1" applyFill="1" applyBorder="1" applyAlignment="1">
      <alignment horizontal="justify" vertical="center" wrapText="1"/>
    </xf>
    <xf numFmtId="0" fontId="61" fillId="29" borderId="0" xfId="0" applyFont="1" applyFill="1" applyProtection="1">
      <protection locked="0"/>
    </xf>
    <xf numFmtId="0" fontId="71" fillId="29" borderId="0" xfId="0" applyFont="1" applyFill="1"/>
    <xf numFmtId="0" fontId="48" fillId="29" borderId="0" xfId="0" applyFont="1" applyFill="1" applyProtection="1">
      <protection locked="0"/>
    </xf>
    <xf numFmtId="0" fontId="74" fillId="0" borderId="0" xfId="0" applyFont="1" applyAlignment="1" applyProtection="1">
      <alignment textRotation="90"/>
      <protection locked="0"/>
    </xf>
    <xf numFmtId="0" fontId="75" fillId="0" borderId="0" xfId="0" applyFont="1" applyAlignment="1" applyProtection="1">
      <alignment horizontal="center" vertical="center"/>
      <protection locked="0"/>
    </xf>
    <xf numFmtId="49" fontId="74" fillId="0" borderId="0" xfId="0" applyNumberFormat="1" applyFont="1" applyProtection="1">
      <protection locked="0"/>
    </xf>
    <xf numFmtId="49" fontId="74" fillId="0" borderId="0" xfId="0" applyNumberFormat="1" applyFont="1" applyAlignment="1" applyProtection="1">
      <alignment horizontal="center" vertical="center"/>
      <protection locked="0"/>
    </xf>
    <xf numFmtId="0" fontId="74" fillId="0" borderId="0" xfId="0" applyFont="1" applyProtection="1">
      <protection locked="0"/>
    </xf>
    <xf numFmtId="0" fontId="59" fillId="32" borderId="65" xfId="0" applyFont="1" applyFill="1" applyBorder="1" applyAlignment="1">
      <alignment horizontal="center" vertical="center" wrapText="1"/>
    </xf>
    <xf numFmtId="0" fontId="59" fillId="8" borderId="66" xfId="0" applyFont="1" applyFill="1" applyBorder="1" applyAlignment="1">
      <alignment horizontal="center" vertical="center" wrapText="1"/>
    </xf>
    <xf numFmtId="0" fontId="59" fillId="33" borderId="30" xfId="0" applyFont="1" applyFill="1" applyBorder="1"/>
    <xf numFmtId="0" fontId="59" fillId="16" borderId="30" xfId="0" applyFont="1" applyFill="1" applyBorder="1" applyAlignment="1">
      <alignment horizontal="center" vertical="center"/>
    </xf>
    <xf numFmtId="0" fontId="59" fillId="35" borderId="30" xfId="0" applyFont="1" applyFill="1" applyBorder="1" applyAlignment="1">
      <alignment horizontal="center" vertical="center"/>
    </xf>
    <xf numFmtId="0" fontId="59" fillId="16" borderId="30" xfId="0" applyFont="1" applyFill="1" applyBorder="1"/>
    <xf numFmtId="0" fontId="59" fillId="2" borderId="30" xfId="0" applyFont="1" applyFill="1" applyBorder="1"/>
    <xf numFmtId="0" fontId="59" fillId="33" borderId="30" xfId="0" applyFont="1" applyFill="1" applyBorder="1" applyAlignment="1">
      <alignment horizontal="center" vertical="center"/>
    </xf>
    <xf numFmtId="0" fontId="59" fillId="26" borderId="30" xfId="0" applyFont="1" applyFill="1" applyBorder="1" applyAlignment="1">
      <alignment horizontal="center" vertical="center"/>
    </xf>
    <xf numFmtId="0" fontId="59" fillId="35" borderId="30" xfId="0" applyFont="1" applyFill="1" applyBorder="1"/>
    <xf numFmtId="0" fontId="59" fillId="13" borderId="30" xfId="0" applyFont="1" applyFill="1" applyBorder="1" applyAlignment="1">
      <alignment horizontal="center" vertical="center"/>
    </xf>
    <xf numFmtId="0" fontId="0" fillId="0" borderId="30" xfId="0" applyBorder="1"/>
    <xf numFmtId="0" fontId="59" fillId="34" borderId="30" xfId="0" applyFont="1" applyFill="1" applyBorder="1"/>
    <xf numFmtId="0" fontId="59" fillId="32" borderId="66" xfId="0" applyFont="1" applyFill="1" applyBorder="1" applyAlignment="1">
      <alignment horizontal="center" vertical="center" wrapText="1"/>
    </xf>
    <xf numFmtId="0" fontId="0" fillId="0" borderId="30" xfId="0" applyBorder="1" applyAlignment="1">
      <alignment horizontal="center" vertical="center"/>
    </xf>
    <xf numFmtId="0" fontId="0" fillId="0" borderId="65" xfId="0" applyBorder="1"/>
    <xf numFmtId="49" fontId="0" fillId="0" borderId="65" xfId="0" applyNumberFormat="1" applyBorder="1"/>
    <xf numFmtId="49" fontId="0" fillId="0" borderId="30" xfId="0" applyNumberFormat="1" applyBorder="1"/>
    <xf numFmtId="0" fontId="0" fillId="0" borderId="31" xfId="0" applyBorder="1"/>
    <xf numFmtId="0" fontId="61" fillId="31" borderId="57" xfId="0" applyFont="1" applyFill="1" applyBorder="1" applyAlignment="1">
      <alignment vertical="center" wrapText="1"/>
    </xf>
    <xf numFmtId="0" fontId="61" fillId="31" borderId="57" xfId="0" applyFont="1" applyFill="1" applyBorder="1" applyAlignment="1">
      <alignment horizontal="center" vertical="center" wrapText="1"/>
    </xf>
    <xf numFmtId="0" fontId="48" fillId="29" borderId="19" xfId="0" applyFont="1" applyFill="1" applyBorder="1" applyProtection="1">
      <protection locked="0"/>
    </xf>
    <xf numFmtId="0" fontId="87" fillId="31" borderId="30"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63" fillId="18" borderId="30" xfId="0" applyFont="1" applyFill="1" applyBorder="1" applyAlignment="1">
      <alignment horizontal="left" vertical="center"/>
    </xf>
    <xf numFmtId="0" fontId="48" fillId="29" borderId="18" xfId="0" applyFont="1" applyFill="1" applyBorder="1" applyProtection="1">
      <protection locked="0"/>
    </xf>
    <xf numFmtId="0" fontId="68" fillId="18" borderId="31" xfId="0" applyFont="1" applyFill="1" applyBorder="1" applyAlignment="1" applyProtection="1">
      <alignment horizontal="center" vertical="center" wrapText="1"/>
      <protection locked="0"/>
    </xf>
    <xf numFmtId="0" fontId="72" fillId="3" borderId="0" xfId="0" applyFont="1" applyFill="1"/>
    <xf numFmtId="0" fontId="0" fillId="0" borderId="67" xfId="0" applyBorder="1"/>
    <xf numFmtId="0" fontId="0" fillId="0" borderId="55" xfId="0" applyBorder="1"/>
    <xf numFmtId="0" fontId="0" fillId="0" borderId="68" xfId="0" applyBorder="1"/>
    <xf numFmtId="0" fontId="61" fillId="0" borderId="62"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37" xfId="0" applyFont="1" applyBorder="1" applyAlignment="1">
      <alignment horizontal="center" vertical="center" wrapText="1"/>
    </xf>
    <xf numFmtId="0" fontId="61" fillId="31" borderId="30" xfId="0" applyFont="1" applyFill="1" applyBorder="1" applyAlignment="1">
      <alignment horizontal="center" vertical="center" wrapText="1"/>
    </xf>
    <xf numFmtId="0" fontId="62" fillId="13" borderId="0" xfId="0" applyFont="1" applyFill="1" applyAlignment="1">
      <alignment vertical="center" wrapText="1"/>
    </xf>
    <xf numFmtId="0" fontId="94" fillId="0" borderId="34" xfId="0" applyFont="1" applyBorder="1" applyAlignment="1">
      <alignment horizontal="center" vertical="center"/>
    </xf>
    <xf numFmtId="0" fontId="94" fillId="0" borderId="34" xfId="0" applyFont="1" applyBorder="1" applyAlignment="1">
      <alignment horizontal="center" vertical="center" wrapText="1"/>
    </xf>
    <xf numFmtId="0" fontId="97" fillId="0" borderId="30" xfId="0" applyFont="1" applyBorder="1" applyAlignment="1">
      <alignment horizontal="center" vertical="center"/>
    </xf>
    <xf numFmtId="0" fontId="98" fillId="0" borderId="30" xfId="0" applyFont="1" applyBorder="1" applyAlignment="1">
      <alignment horizontal="center" vertical="center"/>
    </xf>
    <xf numFmtId="0" fontId="98" fillId="3" borderId="30" xfId="0" applyFont="1" applyFill="1" applyBorder="1" applyAlignment="1">
      <alignment horizontal="center" vertical="center"/>
    </xf>
    <xf numFmtId="2" fontId="98" fillId="3" borderId="30" xfId="0" applyNumberFormat="1" applyFont="1" applyFill="1" applyBorder="1" applyAlignment="1">
      <alignment horizontal="center" vertical="center"/>
    </xf>
    <xf numFmtId="0" fontId="99" fillId="0" borderId="30" xfId="0" applyFont="1" applyBorder="1" applyAlignment="1">
      <alignment horizontal="center" vertical="center" wrapText="1"/>
    </xf>
    <xf numFmtId="0" fontId="99" fillId="0" borderId="0" xfId="0" applyFont="1"/>
    <xf numFmtId="0" fontId="99" fillId="0" borderId="30" xfId="0" applyFont="1" applyBorder="1" applyAlignment="1">
      <alignment horizontal="center" vertical="center"/>
    </xf>
    <xf numFmtId="0" fontId="0" fillId="0" borderId="30" xfId="0" applyBorder="1" applyAlignment="1">
      <alignment wrapText="1"/>
    </xf>
    <xf numFmtId="0" fontId="0" fillId="0" borderId="30" xfId="0" applyBorder="1" applyAlignment="1">
      <alignment horizontal="center" vertical="center" wrapText="1"/>
    </xf>
    <xf numFmtId="0" fontId="99" fillId="0" borderId="0" xfId="0" applyFont="1" applyAlignment="1">
      <alignment vertical="center" wrapText="1"/>
    </xf>
    <xf numFmtId="0" fontId="97" fillId="0" borderId="0" xfId="0" applyFont="1" applyAlignment="1">
      <alignment horizontal="center" vertical="top"/>
    </xf>
    <xf numFmtId="0" fontId="97" fillId="0" borderId="52" xfId="0" applyFont="1" applyBorder="1" applyAlignment="1">
      <alignment horizontal="center" vertical="center"/>
    </xf>
    <xf numFmtId="0" fontId="60" fillId="17" borderId="54" xfId="0" applyFont="1" applyFill="1" applyBorder="1" applyAlignment="1">
      <alignment vertical="center"/>
    </xf>
    <xf numFmtId="0" fontId="61" fillId="17" borderId="54" xfId="0" applyFont="1" applyFill="1" applyBorder="1" applyAlignment="1">
      <alignment vertical="center"/>
    </xf>
    <xf numFmtId="0" fontId="61" fillId="17" borderId="54" xfId="0" applyFont="1" applyFill="1" applyBorder="1" applyAlignment="1">
      <alignment horizontal="left" vertical="center" wrapText="1"/>
    </xf>
    <xf numFmtId="0" fontId="104" fillId="36" borderId="56" xfId="0" applyFont="1" applyFill="1" applyBorder="1" applyAlignment="1">
      <alignment horizontal="center" vertical="center" wrapText="1"/>
    </xf>
    <xf numFmtId="0" fontId="104" fillId="36" borderId="67" xfId="0" applyFont="1" applyFill="1" applyBorder="1" applyAlignment="1">
      <alignment horizontal="center" vertical="center" wrapText="1"/>
    </xf>
    <xf numFmtId="0" fontId="104" fillId="36" borderId="30" xfId="0" applyFont="1" applyFill="1" applyBorder="1" applyAlignment="1">
      <alignment horizontal="center" vertical="center" wrapText="1"/>
    </xf>
    <xf numFmtId="0" fontId="104" fillId="36" borderId="59" xfId="0" applyFont="1" applyFill="1" applyBorder="1" applyAlignment="1">
      <alignment horizontal="center" vertical="center" wrapText="1"/>
    </xf>
    <xf numFmtId="0" fontId="105" fillId="36" borderId="30" xfId="0" applyFont="1" applyFill="1" applyBorder="1" applyAlignment="1">
      <alignment horizontal="center" vertical="justify" wrapText="1"/>
    </xf>
    <xf numFmtId="9" fontId="106" fillId="36" borderId="30" xfId="0" applyNumberFormat="1" applyFont="1" applyFill="1" applyBorder="1" applyAlignment="1">
      <alignment horizontal="center" vertical="justify" wrapText="1"/>
    </xf>
    <xf numFmtId="0" fontId="36" fillId="3" borderId="30" xfId="0" applyFont="1" applyFill="1" applyBorder="1" applyAlignment="1">
      <alignment horizontal="center" vertical="center"/>
    </xf>
    <xf numFmtId="0" fontId="36" fillId="0" borderId="54" xfId="0" applyFont="1" applyBorder="1" applyAlignment="1">
      <alignment horizontal="center" vertical="center"/>
    </xf>
    <xf numFmtId="2" fontId="36" fillId="3" borderId="30" xfId="0" applyNumberFormat="1" applyFont="1" applyFill="1" applyBorder="1" applyAlignment="1">
      <alignment horizontal="center" vertical="center"/>
    </xf>
    <xf numFmtId="0" fontId="1" fillId="0" borderId="52" xfId="0" applyFont="1" applyBorder="1"/>
    <xf numFmtId="0" fontId="1" fillId="0" borderId="53" xfId="0" applyFont="1" applyBorder="1"/>
    <xf numFmtId="0" fontId="1" fillId="0" borderId="54" xfId="0" applyFont="1" applyBorder="1"/>
    <xf numFmtId="0" fontId="68" fillId="23" borderId="64" xfId="0" applyFont="1" applyFill="1" applyBorder="1" applyAlignment="1" applyProtection="1">
      <alignment horizontal="center" vertical="center" wrapText="1"/>
      <protection locked="0"/>
    </xf>
    <xf numFmtId="0" fontId="68" fillId="23" borderId="38" xfId="0" applyFont="1" applyFill="1" applyBorder="1" applyAlignment="1" applyProtection="1">
      <alignment horizontal="center" vertical="center" wrapText="1"/>
      <protection locked="0"/>
    </xf>
    <xf numFmtId="0" fontId="68" fillId="18" borderId="37" xfId="0" applyFont="1" applyFill="1" applyBorder="1" applyAlignment="1" applyProtection="1">
      <alignment horizontal="center" vertical="center" wrapText="1"/>
      <protection locked="0"/>
    </xf>
    <xf numFmtId="0" fontId="69" fillId="18" borderId="37" xfId="0" applyFont="1" applyFill="1" applyBorder="1" applyAlignment="1" applyProtection="1">
      <alignment horizontal="center" vertical="center" wrapText="1"/>
      <protection locked="0"/>
    </xf>
    <xf numFmtId="0" fontId="63" fillId="18" borderId="56" xfId="0" applyFont="1" applyFill="1" applyBorder="1" applyAlignment="1">
      <alignment horizontal="left" vertical="center"/>
    </xf>
    <xf numFmtId="0" fontId="66" fillId="19" borderId="51" xfId="0" applyFont="1" applyFill="1" applyBorder="1" applyAlignment="1" applyProtection="1">
      <alignment vertical="center"/>
      <protection locked="0"/>
    </xf>
    <xf numFmtId="0" fontId="66" fillId="19" borderId="59" xfId="0" applyFont="1" applyFill="1" applyBorder="1" applyAlignment="1" applyProtection="1">
      <alignment horizontal="center" vertical="center"/>
      <protection locked="0"/>
    </xf>
    <xf numFmtId="0" fontId="66" fillId="19" borderId="0" xfId="0" applyFont="1" applyFill="1" applyAlignment="1" applyProtection="1">
      <alignment vertical="center"/>
      <protection locked="0"/>
    </xf>
    <xf numFmtId="0" fontId="66" fillId="19" borderId="15" xfId="0" applyFont="1" applyFill="1" applyBorder="1" applyAlignment="1" applyProtection="1">
      <alignment horizontal="center" vertical="center"/>
      <protection locked="0"/>
    </xf>
    <xf numFmtId="0" fontId="103" fillId="0" borderId="0" xfId="0" applyFont="1" applyAlignment="1">
      <alignment horizontal="center"/>
    </xf>
    <xf numFmtId="0" fontId="0" fillId="0" borderId="0" xfId="0" applyAlignment="1">
      <alignment wrapText="1"/>
    </xf>
    <xf numFmtId="0" fontId="16" fillId="0" borderId="0" xfId="0" applyFont="1" applyAlignment="1">
      <alignment wrapText="1"/>
    </xf>
    <xf numFmtId="0" fontId="94" fillId="0" borderId="73" xfId="0" applyFont="1" applyBorder="1" applyAlignment="1">
      <alignment horizontal="center" vertical="center"/>
    </xf>
    <xf numFmtId="0" fontId="94" fillId="0" borderId="45" xfId="0" applyFont="1" applyBorder="1" applyAlignment="1">
      <alignment horizontal="center" vertical="center"/>
    </xf>
    <xf numFmtId="0" fontId="95" fillId="31" borderId="52" xfId="0" applyFont="1" applyFill="1" applyBorder="1" applyAlignment="1">
      <alignment horizontal="left" vertical="center" wrapText="1"/>
    </xf>
    <xf numFmtId="0" fontId="92" fillId="38" borderId="77" xfId="0" applyFont="1" applyFill="1" applyBorder="1" applyAlignment="1">
      <alignment horizontal="center" vertical="center"/>
    </xf>
    <xf numFmtId="0" fontId="0" fillId="0" borderId="78" xfId="0" applyBorder="1" applyAlignment="1">
      <alignment horizontal="center" vertical="center"/>
    </xf>
    <xf numFmtId="0" fontId="0" fillId="0" borderId="79" xfId="0" applyBorder="1"/>
    <xf numFmtId="0" fontId="70" fillId="38" borderId="63" xfId="0" applyFont="1" applyFill="1" applyBorder="1" applyAlignment="1">
      <alignment horizontal="justify" vertical="center"/>
    </xf>
    <xf numFmtId="0" fontId="95" fillId="31" borderId="67" xfId="0" applyFont="1" applyFill="1" applyBorder="1" applyAlignment="1">
      <alignment horizontal="left" vertical="center" wrapText="1"/>
    </xf>
    <xf numFmtId="0" fontId="0" fillId="0" borderId="74" xfId="0" applyBorder="1" applyAlignment="1">
      <alignment wrapText="1"/>
    </xf>
    <xf numFmtId="0" fontId="95" fillId="31" borderId="74" xfId="0" applyFont="1" applyFill="1" applyBorder="1" applyAlignment="1">
      <alignment horizontal="left" vertical="center" wrapText="1"/>
    </xf>
    <xf numFmtId="0" fontId="0" fillId="0" borderId="74" xfId="0" applyBorder="1"/>
    <xf numFmtId="0" fontId="96" fillId="31" borderId="74" xfId="0" applyFont="1" applyFill="1" applyBorder="1" applyAlignment="1">
      <alignment horizontal="left" vertical="center" wrapText="1"/>
    </xf>
    <xf numFmtId="0" fontId="0" fillId="0" borderId="75" xfId="0" applyBorder="1" applyAlignment="1">
      <alignment wrapText="1"/>
    </xf>
    <xf numFmtId="0" fontId="0" fillId="0" borderId="80" xfId="0" applyBorder="1"/>
    <xf numFmtId="0" fontId="92" fillId="38" borderId="34" xfId="0" applyFont="1" applyFill="1" applyBorder="1" applyAlignment="1">
      <alignment horizontal="center" vertical="center"/>
    </xf>
    <xf numFmtId="0" fontId="0" fillId="0" borderId="35" xfId="0" applyBorder="1"/>
    <xf numFmtId="0" fontId="0" fillId="0" borderId="34" xfId="0" applyBorder="1"/>
    <xf numFmtId="0" fontId="0" fillId="0" borderId="36" xfId="0" applyBorder="1"/>
    <xf numFmtId="0" fontId="0" fillId="0" borderId="38" xfId="0" applyBorder="1"/>
    <xf numFmtId="0" fontId="70" fillId="38" borderId="52" xfId="0" applyFont="1" applyFill="1" applyBorder="1" applyAlignment="1">
      <alignment horizontal="justify" vertical="center" wrapText="1"/>
    </xf>
    <xf numFmtId="0" fontId="96" fillId="31" borderId="52" xfId="0" applyFont="1" applyFill="1" applyBorder="1" applyAlignment="1">
      <alignment horizontal="left" vertical="center" wrapText="1"/>
    </xf>
    <xf numFmtId="0" fontId="0" fillId="0" borderId="52" xfId="0" applyBorder="1" applyAlignment="1">
      <alignment wrapText="1"/>
    </xf>
    <xf numFmtId="0" fontId="94" fillId="0" borderId="52" xfId="0" applyFont="1" applyBorder="1" applyAlignment="1">
      <alignment horizontal="justify" vertical="center" wrapText="1"/>
    </xf>
    <xf numFmtId="0" fontId="0" fillId="0" borderId="52" xfId="0" applyBorder="1"/>
    <xf numFmtId="0" fontId="0" fillId="0" borderId="64" xfId="0" applyBorder="1"/>
    <xf numFmtId="0" fontId="94" fillId="0" borderId="52" xfId="0" applyFont="1" applyBorder="1" applyAlignment="1">
      <alignment wrapText="1"/>
    </xf>
    <xf numFmtId="0" fontId="16" fillId="0" borderId="52" xfId="0" applyFont="1" applyBorder="1" applyAlignment="1">
      <alignment wrapText="1"/>
    </xf>
    <xf numFmtId="0" fontId="94" fillId="0" borderId="34" xfId="0" applyFont="1" applyBorder="1" applyAlignment="1">
      <alignment horizontal="center"/>
    </xf>
    <xf numFmtId="0" fontId="0" fillId="0" borderId="34" xfId="0" applyBorder="1" applyAlignment="1">
      <alignment horizontal="center"/>
    </xf>
    <xf numFmtId="0" fontId="0" fillId="0" borderId="36" xfId="0" applyBorder="1" applyAlignment="1">
      <alignment horizontal="center"/>
    </xf>
    <xf numFmtId="0" fontId="16" fillId="0" borderId="64" xfId="0" applyFont="1" applyBorder="1" applyAlignment="1">
      <alignment wrapText="1"/>
    </xf>
    <xf numFmtId="0" fontId="93" fillId="38" borderId="35" xfId="0" applyFont="1" applyFill="1" applyBorder="1" applyAlignment="1">
      <alignment horizontal="left" vertical="center" wrapText="1"/>
    </xf>
    <xf numFmtId="0" fontId="95" fillId="39" borderId="34" xfId="0" applyFont="1" applyFill="1" applyBorder="1" applyAlignment="1">
      <alignment horizontal="center" vertical="center" wrapText="1"/>
    </xf>
    <xf numFmtId="0" fontId="94" fillId="39" borderId="35" xfId="0" applyFont="1" applyFill="1" applyBorder="1" applyAlignment="1">
      <alignment horizontal="left" wrapText="1"/>
    </xf>
    <xf numFmtId="0" fontId="95" fillId="40" borderId="34" xfId="0" applyFont="1" applyFill="1" applyBorder="1" applyAlignment="1">
      <alignment horizontal="center" vertical="center" wrapText="1"/>
    </xf>
    <xf numFmtId="0" fontId="94" fillId="40" borderId="35" xfId="0" applyFont="1" applyFill="1" applyBorder="1" applyAlignment="1">
      <alignment horizontal="left" wrapText="1"/>
    </xf>
    <xf numFmtId="0" fontId="95" fillId="40" borderId="35" xfId="0" applyFont="1" applyFill="1" applyBorder="1" applyAlignment="1">
      <alignment horizontal="left" vertical="center" wrapText="1"/>
    </xf>
    <xf numFmtId="0" fontId="0" fillId="41" borderId="34" xfId="0" applyFill="1" applyBorder="1" applyAlignment="1">
      <alignment horizontal="center" vertical="center"/>
    </xf>
    <xf numFmtId="0" fontId="0" fillId="41" borderId="35" xfId="0" applyFill="1" applyBorder="1" applyAlignment="1">
      <alignment horizontal="left" vertical="center" wrapText="1"/>
    </xf>
    <xf numFmtId="0" fontId="0" fillId="41" borderId="34" xfId="0" applyFill="1" applyBorder="1" applyAlignment="1">
      <alignment horizontal="center"/>
    </xf>
    <xf numFmtId="0" fontId="0" fillId="32" borderId="34" xfId="0" applyFill="1" applyBorder="1" applyAlignment="1">
      <alignment horizontal="center" vertical="center"/>
    </xf>
    <xf numFmtId="0" fontId="95" fillId="32" borderId="35" xfId="0" applyFont="1" applyFill="1" applyBorder="1" applyAlignment="1">
      <alignment horizontal="left" vertical="center" wrapText="1"/>
    </xf>
    <xf numFmtId="0" fontId="95" fillId="32" borderId="34" xfId="0" applyFont="1" applyFill="1" applyBorder="1" applyAlignment="1">
      <alignment horizontal="center" vertical="center" wrapText="1"/>
    </xf>
    <xf numFmtId="0" fontId="94" fillId="32" borderId="35" xfId="0" applyFont="1" applyFill="1" applyBorder="1" applyAlignment="1">
      <alignment wrapText="1"/>
    </xf>
    <xf numFmtId="0" fontId="0" fillId="0" borderId="34" xfId="0" applyBorder="1" applyAlignment="1">
      <alignment horizontal="center" vertical="center"/>
    </xf>
    <xf numFmtId="0" fontId="0" fillId="0" borderId="35" xfId="0" applyBorder="1" applyAlignment="1">
      <alignment horizontal="center" vertical="center"/>
    </xf>
    <xf numFmtId="0" fontId="109" fillId="42" borderId="44" xfId="0" applyFont="1" applyFill="1" applyBorder="1" applyAlignment="1">
      <alignment vertical="center" wrapText="1"/>
    </xf>
    <xf numFmtId="0" fontId="109" fillId="42" borderId="17" xfId="0" applyFont="1" applyFill="1" applyBorder="1" applyAlignment="1">
      <alignment vertical="center" wrapText="1"/>
    </xf>
    <xf numFmtId="0" fontId="0" fillId="43" borderId="17" xfId="0" applyFill="1" applyBorder="1" applyAlignment="1">
      <alignment vertical="center" wrapText="1"/>
    </xf>
    <xf numFmtId="0" fontId="109" fillId="43" borderId="17" xfId="0" applyFont="1" applyFill="1" applyBorder="1" applyAlignment="1">
      <alignment vertical="center" wrapText="1"/>
    </xf>
    <xf numFmtId="0" fontId="109" fillId="44" borderId="17" xfId="0" applyFont="1" applyFill="1" applyBorder="1" applyAlignment="1">
      <alignment vertical="center" wrapText="1"/>
    </xf>
    <xf numFmtId="0" fontId="0" fillId="45" borderId="17" xfId="0" applyFill="1" applyBorder="1" applyAlignment="1">
      <alignment vertical="center" wrapText="1"/>
    </xf>
    <xf numFmtId="0" fontId="109" fillId="45" borderId="17" xfId="0" applyFont="1" applyFill="1" applyBorder="1" applyAlignment="1">
      <alignment vertical="center" wrapText="1"/>
    </xf>
    <xf numFmtId="0" fontId="0" fillId="42" borderId="76" xfId="0" applyFill="1" applyBorder="1" applyAlignment="1">
      <alignment horizontal="center" vertical="center" wrapText="1"/>
    </xf>
    <xf numFmtId="0" fontId="0" fillId="42" borderId="81" xfId="0" applyFill="1" applyBorder="1" applyAlignment="1">
      <alignment horizontal="center" vertical="center" wrapText="1"/>
    </xf>
    <xf numFmtId="0" fontId="0" fillId="43" borderId="81" xfId="0" applyFill="1" applyBorder="1" applyAlignment="1">
      <alignment horizontal="center" vertical="center" wrapText="1"/>
    </xf>
    <xf numFmtId="0" fontId="109" fillId="44" borderId="81" xfId="0" applyFont="1" applyFill="1" applyBorder="1" applyAlignment="1">
      <alignment horizontal="center" vertical="center"/>
    </xf>
    <xf numFmtId="0" fontId="109" fillId="45" borderId="81" xfId="0" applyFont="1" applyFill="1" applyBorder="1" applyAlignment="1">
      <alignment horizontal="center" vertical="center"/>
    </xf>
    <xf numFmtId="0" fontId="0" fillId="45" borderId="81" xfId="0" applyFill="1" applyBorder="1" applyAlignment="1">
      <alignment horizontal="center" vertical="center"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30" xfId="3" applyFont="1" applyFill="1" applyBorder="1" applyAlignment="1">
      <alignment horizontal="center" vertical="center" wrapText="1"/>
    </xf>
    <xf numFmtId="0" fontId="55" fillId="14" borderId="30" xfId="2" applyFont="1" applyFill="1" applyBorder="1" applyAlignment="1">
      <alignment horizontal="center" vertical="center"/>
    </xf>
    <xf numFmtId="0" fontId="52" fillId="3" borderId="45" xfId="2" quotePrefix="1" applyFont="1" applyFill="1" applyBorder="1" applyAlignment="1">
      <alignment horizontal="left" vertical="top" wrapText="1"/>
    </xf>
    <xf numFmtId="0" fontId="53" fillId="3" borderId="46" xfId="2" quotePrefix="1" applyFont="1" applyFill="1" applyBorder="1" applyAlignment="1">
      <alignment horizontal="left" vertical="top" wrapText="1"/>
    </xf>
    <xf numFmtId="0" fontId="53" fillId="3" borderId="47" xfId="2" quotePrefix="1" applyFont="1" applyFill="1" applyBorder="1" applyAlignment="1">
      <alignment horizontal="left" vertical="top" wrapText="1"/>
    </xf>
    <xf numFmtId="0" fontId="89" fillId="17" borderId="62" xfId="0" applyFont="1" applyFill="1" applyBorder="1" applyAlignment="1">
      <alignment horizontal="left" vertical="center"/>
    </xf>
    <xf numFmtId="0" fontId="89" fillId="17" borderId="71" xfId="0" applyFont="1" applyFill="1" applyBorder="1" applyAlignment="1">
      <alignment horizontal="left" vertical="center"/>
    </xf>
    <xf numFmtId="0" fontId="90" fillId="17" borderId="30" xfId="0" applyFont="1" applyFill="1" applyBorder="1" applyAlignment="1">
      <alignment horizontal="left" vertical="center"/>
    </xf>
    <xf numFmtId="0" fontId="90" fillId="17" borderId="35" xfId="0" applyFont="1" applyFill="1" applyBorder="1" applyAlignment="1">
      <alignment horizontal="left" vertical="center"/>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48" xfId="2" quotePrefix="1" applyFont="1" applyBorder="1" applyAlignment="1">
      <alignment horizontal="left" vertical="center" wrapText="1"/>
    </xf>
    <xf numFmtId="0" fontId="50" fillId="0" borderId="49" xfId="2" quotePrefix="1" applyFont="1" applyBorder="1" applyAlignment="1">
      <alignment horizontal="left" vertical="center" wrapText="1"/>
    </xf>
    <xf numFmtId="0" fontId="50" fillId="0" borderId="50" xfId="2" quotePrefix="1" applyFont="1" applyBorder="1" applyAlignment="1">
      <alignment horizontal="left" vertical="center" wrapText="1"/>
    </xf>
    <xf numFmtId="0" fontId="2" fillId="3" borderId="48" xfId="2" quotePrefix="1" applyFont="1" applyFill="1" applyBorder="1" applyAlignment="1">
      <alignment horizontal="justify" vertical="center" wrapText="1"/>
    </xf>
    <xf numFmtId="0" fontId="2" fillId="3" borderId="49" xfId="2" quotePrefix="1" applyFont="1" applyFill="1" applyBorder="1" applyAlignment="1">
      <alignment horizontal="justify" vertical="center" wrapText="1"/>
    </xf>
    <xf numFmtId="0" fontId="2" fillId="3" borderId="50" xfId="2" quotePrefix="1" applyFont="1" applyFill="1" applyBorder="1" applyAlignment="1">
      <alignment horizontal="justify" vertical="center" wrapText="1"/>
    </xf>
    <xf numFmtId="0" fontId="102" fillId="0" borderId="12" xfId="0" applyFont="1" applyBorder="1" applyAlignment="1">
      <alignment horizontal="center" vertical="center" wrapText="1"/>
    </xf>
    <xf numFmtId="0" fontId="102" fillId="0" borderId="19" xfId="0" applyFont="1" applyBorder="1" applyAlignment="1">
      <alignment horizontal="center" vertical="center" wrapText="1"/>
    </xf>
    <xf numFmtId="0" fontId="102" fillId="0" borderId="14" xfId="0" applyFont="1" applyBorder="1" applyAlignment="1">
      <alignment horizontal="center" vertical="center" wrapText="1"/>
    </xf>
    <xf numFmtId="0" fontId="102" fillId="0" borderId="0" xfId="0" applyFont="1" applyAlignment="1">
      <alignment horizontal="center" vertical="center" wrapText="1"/>
    </xf>
    <xf numFmtId="0" fontId="102" fillId="0" borderId="16" xfId="0" applyFont="1" applyBorder="1" applyAlignment="1">
      <alignment horizontal="center" vertical="center" wrapText="1"/>
    </xf>
    <xf numFmtId="0" fontId="102" fillId="0" borderId="18" xfId="0" applyFont="1" applyBorder="1" applyAlignment="1">
      <alignment horizontal="center" vertical="center" wrapText="1"/>
    </xf>
    <xf numFmtId="0" fontId="90" fillId="17" borderId="64" xfId="0" applyFont="1" applyFill="1" applyBorder="1" applyAlignment="1">
      <alignment horizontal="left" vertical="center" wrapText="1"/>
    </xf>
    <xf numFmtId="0" fontId="90" fillId="17" borderId="72" xfId="0" applyFont="1" applyFill="1" applyBorder="1" applyAlignment="1">
      <alignment horizontal="left" vertical="center" wrapText="1"/>
    </xf>
    <xf numFmtId="0" fontId="55" fillId="3" borderId="30" xfId="3" applyFont="1" applyFill="1" applyBorder="1" applyAlignment="1">
      <alignment horizontal="left" vertical="top" wrapText="1" readingOrder="1"/>
    </xf>
    <xf numFmtId="0" fontId="56" fillId="3" borderId="30" xfId="2" applyFont="1" applyFill="1" applyBorder="1" applyAlignment="1">
      <alignment horizontal="justify" vertical="center"/>
    </xf>
    <xf numFmtId="0" fontId="55" fillId="3" borderId="30" xfId="0" applyFont="1" applyFill="1" applyBorder="1" applyAlignment="1">
      <alignment horizontal="left" vertical="center" wrapText="1"/>
    </xf>
    <xf numFmtId="0" fontId="56" fillId="3" borderId="30" xfId="0" applyFont="1" applyFill="1" applyBorder="1" applyAlignment="1">
      <alignment horizontal="justify" vertical="center" wrapText="1"/>
    </xf>
    <xf numFmtId="0" fontId="83" fillId="0" borderId="18" xfId="0" applyFont="1" applyBorder="1" applyAlignment="1">
      <alignment horizontal="left"/>
    </xf>
    <xf numFmtId="0" fontId="91" fillId="38" borderId="77" xfId="0" applyFont="1" applyFill="1" applyBorder="1" applyAlignment="1">
      <alignment horizontal="center" vertical="center" wrapText="1"/>
    </xf>
    <xf numFmtId="0" fontId="91" fillId="38" borderId="63" xfId="0" applyFont="1" applyFill="1" applyBorder="1" applyAlignment="1">
      <alignment horizontal="center" vertical="center" wrapText="1"/>
    </xf>
    <xf numFmtId="0" fontId="91" fillId="38" borderId="77" xfId="0" applyFont="1" applyFill="1" applyBorder="1" applyAlignment="1">
      <alignment horizontal="left" vertical="center" wrapText="1"/>
    </xf>
    <xf numFmtId="0" fontId="91" fillId="38" borderId="71" xfId="0" applyFont="1" applyFill="1" applyBorder="1" applyAlignment="1">
      <alignment horizontal="left" vertical="center" wrapText="1"/>
    </xf>
    <xf numFmtId="0" fontId="89" fillId="17" borderId="30" xfId="0" applyFont="1" applyFill="1" applyBorder="1" applyAlignment="1">
      <alignment horizontal="left" vertical="center"/>
    </xf>
    <xf numFmtId="0" fontId="103" fillId="0" borderId="56" xfId="0" applyFont="1" applyBorder="1" applyAlignment="1">
      <alignment horizontal="center"/>
    </xf>
    <xf numFmtId="0" fontId="20" fillId="37" borderId="32" xfId="0" applyFont="1" applyFill="1" applyBorder="1" applyAlignment="1">
      <alignment horizontal="center" vertical="center"/>
    </xf>
    <xf numFmtId="0" fontId="20" fillId="37" borderId="33" xfId="0" applyFont="1" applyFill="1" applyBorder="1" applyAlignment="1">
      <alignment horizontal="center" vertical="center"/>
    </xf>
    <xf numFmtId="0" fontId="20" fillId="37" borderId="19" xfId="0" applyFont="1" applyFill="1" applyBorder="1" applyAlignment="1">
      <alignment horizontal="center" vertical="center"/>
    </xf>
    <xf numFmtId="0" fontId="20" fillId="37" borderId="13" xfId="0" applyFont="1" applyFill="1" applyBorder="1" applyAlignment="1">
      <alignment horizontal="center" vertical="center"/>
    </xf>
    <xf numFmtId="0" fontId="20" fillId="37" borderId="12" xfId="0" applyFont="1" applyFill="1" applyBorder="1" applyAlignment="1">
      <alignment horizontal="center" vertical="center"/>
    </xf>
    <xf numFmtId="0" fontId="91" fillId="38" borderId="32" xfId="0" applyFont="1" applyFill="1" applyBorder="1" applyAlignment="1">
      <alignment horizontal="center" vertical="center" wrapText="1"/>
    </xf>
    <xf numFmtId="0" fontId="91" fillId="38" borderId="33" xfId="0" applyFont="1" applyFill="1" applyBorder="1" applyAlignment="1">
      <alignment horizontal="center" vertical="center" wrapText="1"/>
    </xf>
    <xf numFmtId="0" fontId="61" fillId="17" borderId="52" xfId="0" applyFont="1" applyFill="1" applyBorder="1" applyAlignment="1">
      <alignment horizontal="left" vertical="center" wrapText="1"/>
    </xf>
    <xf numFmtId="0" fontId="61" fillId="17" borderId="54" xfId="0" applyFont="1" applyFill="1" applyBorder="1" applyAlignment="1">
      <alignment horizontal="left" vertical="center" wrapText="1"/>
    </xf>
    <xf numFmtId="0" fontId="101" fillId="0" borderId="67" xfId="0" applyFont="1" applyBorder="1" applyAlignment="1">
      <alignment horizontal="center" vertical="center" wrapText="1"/>
    </xf>
    <xf numFmtId="0" fontId="101" fillId="0" borderId="46" xfId="0" applyFont="1" applyBorder="1" applyAlignment="1">
      <alignment horizontal="center" vertical="center" wrapText="1"/>
    </xf>
    <xf numFmtId="0" fontId="101" fillId="0" borderId="70" xfId="0" applyFont="1" applyBorder="1" applyAlignment="1">
      <alignment horizontal="center" vertical="center" wrapText="1"/>
    </xf>
    <xf numFmtId="0" fontId="101" fillId="0" borderId="55" xfId="0" applyFont="1" applyBorder="1" applyAlignment="1">
      <alignment horizontal="center" vertical="center" wrapText="1"/>
    </xf>
    <xf numFmtId="0" fontId="101" fillId="0" borderId="0" xfId="0" applyFont="1" applyAlignment="1">
      <alignment horizontal="center" vertical="center" wrapText="1"/>
    </xf>
    <xf numFmtId="0" fontId="101" fillId="0" borderId="51" xfId="0" applyFont="1" applyBorder="1" applyAlignment="1">
      <alignment horizontal="center" vertical="center" wrapText="1"/>
    </xf>
    <xf numFmtId="0" fontId="101" fillId="0" borderId="68" xfId="0" applyFont="1" applyBorder="1" applyAlignment="1">
      <alignment horizontal="center" vertical="center" wrapText="1"/>
    </xf>
    <xf numFmtId="0" fontId="101" fillId="0" borderId="49" xfId="0" applyFont="1" applyBorder="1" applyAlignment="1">
      <alignment horizontal="center" vertical="center" wrapText="1"/>
    </xf>
    <xf numFmtId="0" fontId="101" fillId="0" borderId="60" xfId="0" applyFont="1" applyBorder="1" applyAlignment="1">
      <alignment horizontal="center" vertical="center" wrapText="1"/>
    </xf>
    <xf numFmtId="0" fontId="102" fillId="0" borderId="30" xfId="0" applyFont="1" applyBorder="1" applyAlignment="1">
      <alignment horizontal="center" vertical="center"/>
    </xf>
    <xf numFmtId="0" fontId="100" fillId="0" borderId="53" xfId="0" applyFont="1" applyBorder="1" applyAlignment="1">
      <alignment horizontal="center" vertical="center"/>
    </xf>
    <xf numFmtId="0" fontId="100" fillId="0" borderId="54" xfId="0" applyFont="1" applyBorder="1" applyAlignment="1">
      <alignment horizontal="center" vertical="center"/>
    </xf>
    <xf numFmtId="0" fontId="105" fillId="36" borderId="30" xfId="0" applyFont="1" applyFill="1" applyBorder="1" applyAlignment="1">
      <alignment horizontal="center" vertical="center"/>
    </xf>
    <xf numFmtId="0" fontId="104" fillId="36" borderId="56" xfId="0" applyFont="1" applyFill="1" applyBorder="1" applyAlignment="1">
      <alignment horizontal="center" vertical="center" wrapText="1"/>
    </xf>
    <xf numFmtId="0" fontId="104" fillId="36" borderId="59" xfId="0" applyFont="1" applyFill="1" applyBorder="1" applyAlignment="1">
      <alignment horizontal="center" vertical="center" wrapText="1"/>
    </xf>
    <xf numFmtId="0" fontId="104" fillId="36" borderId="31" xfId="0" applyFont="1" applyFill="1" applyBorder="1" applyAlignment="1">
      <alignment horizontal="center" vertical="center" wrapText="1"/>
    </xf>
    <xf numFmtId="0" fontId="104" fillId="36" borderId="52" xfId="0" applyFont="1" applyFill="1" applyBorder="1" applyAlignment="1">
      <alignment horizontal="center" vertical="center" wrapText="1"/>
    </xf>
    <xf numFmtId="0" fontId="104" fillId="36" borderId="53" xfId="0" applyFont="1" applyFill="1" applyBorder="1" applyAlignment="1">
      <alignment horizontal="center" vertical="center" wrapText="1"/>
    </xf>
    <xf numFmtId="0" fontId="104" fillId="36" borderId="54" xfId="0" applyFont="1" applyFill="1" applyBorder="1" applyAlignment="1">
      <alignment horizontal="center" vertical="center" wrapText="1"/>
    </xf>
    <xf numFmtId="0" fontId="105" fillId="36" borderId="56" xfId="0" applyFont="1" applyFill="1" applyBorder="1" applyAlignment="1">
      <alignment horizontal="center" vertical="center" wrapText="1"/>
    </xf>
    <xf numFmtId="0" fontId="105" fillId="36" borderId="31" xfId="0" applyFont="1" applyFill="1" applyBorder="1" applyAlignment="1">
      <alignment horizontal="center" vertical="center" wrapText="1"/>
    </xf>
    <xf numFmtId="0" fontId="105" fillId="36" borderId="56" xfId="0" applyFont="1" applyFill="1" applyBorder="1" applyAlignment="1">
      <alignment horizontal="center" vertical="center"/>
    </xf>
    <xf numFmtId="0" fontId="105" fillId="36" borderId="31" xfId="0" applyFont="1" applyFill="1" applyBorder="1" applyAlignment="1">
      <alignment horizontal="center" vertical="center"/>
    </xf>
    <xf numFmtId="0" fontId="53" fillId="2" borderId="4"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2" fillId="0" borderId="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lignment horizontal="center" vertical="top"/>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5" xfId="0" applyFont="1" applyBorder="1" applyAlignment="1" applyProtection="1">
      <alignment horizontal="center" vertical="top"/>
      <protection locked="0"/>
    </xf>
    <xf numFmtId="0" fontId="4" fillId="0" borderId="5" xfId="0"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locked="0"/>
    </xf>
    <xf numFmtId="0" fontId="1" fillId="0" borderId="10" xfId="0" applyFont="1" applyBorder="1" applyAlignment="1">
      <alignment horizontal="left"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26" fillId="2" borderId="9" xfId="0" applyFont="1" applyFill="1" applyBorder="1" applyAlignment="1">
      <alignment horizontal="center" vertical="center"/>
    </xf>
    <xf numFmtId="0" fontId="26" fillId="2" borderId="0" xfId="0" applyFont="1" applyFill="1" applyAlignment="1">
      <alignment horizontal="center" vertical="center"/>
    </xf>
    <xf numFmtId="0" fontId="26" fillId="2" borderId="28"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2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61" fillId="17" borderId="30" xfId="0" applyFont="1" applyFill="1" applyBorder="1" applyAlignment="1">
      <alignment horizontal="left" vertical="center"/>
    </xf>
    <xf numFmtId="0" fontId="102" fillId="0" borderId="67" xfId="0" applyFont="1" applyBorder="1" applyAlignment="1">
      <alignment horizontal="center" vertical="center"/>
    </xf>
    <xf numFmtId="0" fontId="102" fillId="0" borderId="46" xfId="0" applyFont="1" applyBorder="1" applyAlignment="1">
      <alignment horizontal="center" vertical="center"/>
    </xf>
    <xf numFmtId="0" fontId="102" fillId="0" borderId="70" xfId="0" applyFont="1" applyBorder="1" applyAlignment="1">
      <alignment horizontal="center" vertical="center"/>
    </xf>
    <xf numFmtId="0" fontId="102" fillId="0" borderId="55" xfId="0" applyFont="1" applyBorder="1" applyAlignment="1">
      <alignment horizontal="center" vertical="center"/>
    </xf>
    <xf numFmtId="0" fontId="102" fillId="0" borderId="0" xfId="0" applyFont="1" applyAlignment="1">
      <alignment horizontal="center" vertical="center"/>
    </xf>
    <xf numFmtId="0" fontId="102" fillId="0" borderId="51" xfId="0" applyFont="1" applyBorder="1" applyAlignment="1">
      <alignment horizontal="center" vertical="center"/>
    </xf>
    <xf numFmtId="0" fontId="102" fillId="0" borderId="68" xfId="0" applyFont="1" applyBorder="1" applyAlignment="1">
      <alignment horizontal="center" vertical="center"/>
    </xf>
    <xf numFmtId="0" fontId="102" fillId="0" borderId="49" xfId="0" applyFont="1" applyBorder="1" applyAlignment="1">
      <alignment horizontal="center" vertical="center"/>
    </xf>
    <xf numFmtId="0" fontId="102" fillId="0" borderId="60" xfId="0" applyFont="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7" fillId="17" borderId="55" xfId="0" applyFont="1" applyFill="1" applyBorder="1" applyAlignment="1">
      <alignment horizontal="center" vertical="center"/>
    </xf>
    <xf numFmtId="0" fontId="107" fillId="17" borderId="0" xfId="0" applyFont="1" applyFill="1" applyAlignment="1">
      <alignment horizontal="center" vertical="center"/>
    </xf>
    <xf numFmtId="0" fontId="68" fillId="26" borderId="59" xfId="0" applyFont="1" applyFill="1" applyBorder="1" applyAlignment="1" applyProtection="1">
      <alignment horizontal="center" vertical="center" wrapText="1"/>
      <protection locked="0"/>
    </xf>
    <xf numFmtId="0" fontId="68" fillId="26" borderId="61" xfId="0" applyFont="1" applyFill="1" applyBorder="1" applyAlignment="1" applyProtection="1">
      <alignment horizontal="center" vertical="center" wrapText="1"/>
      <protection locked="0"/>
    </xf>
    <xf numFmtId="0" fontId="68" fillId="26" borderId="55" xfId="0" applyFont="1" applyFill="1" applyBorder="1" applyAlignment="1" applyProtection="1">
      <alignment horizontal="center" vertical="center" wrapText="1"/>
      <protection locked="0"/>
    </xf>
    <xf numFmtId="0" fontId="68" fillId="26" borderId="69" xfId="0" applyFont="1" applyFill="1" applyBorder="1" applyAlignment="1" applyProtection="1">
      <alignment horizontal="center" vertical="center" wrapText="1"/>
      <protection locked="0"/>
    </xf>
    <xf numFmtId="0" fontId="62" fillId="18" borderId="31" xfId="0" applyFont="1" applyFill="1" applyBorder="1" applyAlignment="1">
      <alignment horizontal="center" vertical="center" wrapText="1"/>
    </xf>
    <xf numFmtId="0" fontId="62" fillId="18" borderId="30" xfId="0" applyFont="1" applyFill="1" applyBorder="1" applyAlignment="1">
      <alignment horizontal="center" vertical="center" wrapText="1"/>
    </xf>
    <xf numFmtId="0" fontId="62" fillId="13" borderId="0" xfId="0" applyFont="1" applyFill="1" applyAlignment="1">
      <alignment vertical="center" wrapText="1"/>
    </xf>
    <xf numFmtId="0" fontId="62" fillId="13" borderId="51" xfId="0" applyFont="1" applyFill="1" applyBorder="1" applyAlignment="1">
      <alignment vertical="center" wrapText="1"/>
    </xf>
    <xf numFmtId="0" fontId="61" fillId="14" borderId="30" xfId="0" applyFont="1" applyFill="1" applyBorder="1" applyAlignment="1">
      <alignment horizontal="center" vertical="center" wrapText="1"/>
    </xf>
    <xf numFmtId="0" fontId="63" fillId="14" borderId="30" xfId="0" applyFont="1" applyFill="1" applyBorder="1" applyAlignment="1">
      <alignment horizontal="center" vertical="center"/>
    </xf>
    <xf numFmtId="0" fontId="65" fillId="23" borderId="14" xfId="0" applyFont="1" applyFill="1" applyBorder="1" applyAlignment="1" applyProtection="1">
      <alignment horizontal="center" vertical="center" wrapText="1"/>
      <protection locked="0"/>
    </xf>
    <xf numFmtId="0" fontId="65" fillId="23" borderId="15" xfId="0" applyFont="1" applyFill="1" applyBorder="1" applyAlignment="1" applyProtection="1">
      <alignment horizontal="center" vertical="center" wrapText="1"/>
      <protection locked="0"/>
    </xf>
    <xf numFmtId="0" fontId="65" fillId="13" borderId="32" xfId="0" applyFont="1" applyFill="1" applyBorder="1" applyAlignment="1" applyProtection="1">
      <alignment horizontal="center" vertical="center"/>
      <protection locked="0"/>
    </xf>
    <xf numFmtId="0" fontId="65" fillId="13" borderId="33" xfId="0" applyFont="1" applyFill="1" applyBorder="1" applyAlignment="1" applyProtection="1">
      <alignment horizontal="center" vertical="center"/>
      <protection locked="0"/>
    </xf>
    <xf numFmtId="0" fontId="65" fillId="13" borderId="44" xfId="0" applyFont="1" applyFill="1" applyBorder="1" applyAlignment="1" applyProtection="1">
      <alignment horizontal="center" vertical="center"/>
      <protection locked="0"/>
    </xf>
    <xf numFmtId="0" fontId="108" fillId="13" borderId="32" xfId="0" applyFont="1" applyFill="1" applyBorder="1" applyAlignment="1">
      <alignment horizontal="center" vertical="center"/>
    </xf>
    <xf numFmtId="0" fontId="108" fillId="13" borderId="33" xfId="0" applyFont="1" applyFill="1" applyBorder="1" applyAlignment="1">
      <alignment horizontal="center" vertical="center"/>
    </xf>
    <xf numFmtId="0" fontId="108" fillId="13" borderId="44" xfId="0" applyFont="1" applyFill="1" applyBorder="1" applyAlignment="1">
      <alignment horizontal="center" vertical="center"/>
    </xf>
    <xf numFmtId="0" fontId="66" fillId="13" borderId="33" xfId="0" applyFont="1" applyFill="1" applyBorder="1" applyAlignment="1" applyProtection="1">
      <alignment horizontal="center" vertical="center"/>
      <protection locked="0"/>
    </xf>
    <xf numFmtId="0" fontId="66" fillId="13" borderId="44" xfId="0" applyFont="1" applyFill="1" applyBorder="1" applyAlignment="1" applyProtection="1">
      <alignment horizontal="center" vertical="center"/>
      <protection locked="0"/>
    </xf>
    <xf numFmtId="0" fontId="69" fillId="20" borderId="58" xfId="0" applyFont="1" applyFill="1" applyBorder="1" applyAlignment="1" applyProtection="1">
      <alignment horizontal="center" vertical="center" wrapText="1"/>
      <protection locked="0"/>
    </xf>
    <xf numFmtId="0" fontId="69" fillId="20" borderId="59" xfId="0" applyFont="1" applyFill="1" applyBorder="1" applyAlignment="1" applyProtection="1">
      <alignment horizontal="center" vertical="center" wrapText="1"/>
      <protection locked="0"/>
    </xf>
    <xf numFmtId="0" fontId="70" fillId="20" borderId="59" xfId="0" applyFont="1" applyFill="1" applyBorder="1" applyAlignment="1" applyProtection="1">
      <alignment horizontal="center" vertical="center" wrapText="1"/>
      <protection locked="0"/>
    </xf>
    <xf numFmtId="0" fontId="70" fillId="20" borderId="61" xfId="0" applyFont="1" applyFill="1" applyBorder="1" applyAlignment="1" applyProtection="1">
      <alignment horizontal="center" vertical="center" wrapText="1"/>
      <protection locked="0"/>
    </xf>
    <xf numFmtId="0" fontId="65" fillId="18" borderId="60" xfId="0" applyFont="1" applyFill="1" applyBorder="1" applyAlignment="1" applyProtection="1">
      <alignment horizontal="center" vertical="center"/>
      <protection locked="0"/>
    </xf>
    <xf numFmtId="0" fontId="65" fillId="18" borderId="31" xfId="0" applyFont="1" applyFill="1" applyBorder="1" applyAlignment="1" applyProtection="1">
      <alignment horizontal="center" vertical="center"/>
      <protection locked="0"/>
    </xf>
    <xf numFmtId="0" fontId="65" fillId="18" borderId="59" xfId="0" applyFont="1" applyFill="1" applyBorder="1" applyAlignment="1" applyProtection="1">
      <alignment horizontal="center" vertical="center"/>
      <protection locked="0"/>
    </xf>
    <xf numFmtId="0" fontId="65" fillId="24" borderId="31" xfId="0" applyFont="1" applyFill="1" applyBorder="1" applyAlignment="1" applyProtection="1">
      <alignment horizontal="center" vertical="center" wrapText="1"/>
      <protection locked="0"/>
    </xf>
    <xf numFmtId="0" fontId="69" fillId="3" borderId="62" xfId="0" applyFont="1" applyFill="1" applyBorder="1" applyAlignment="1">
      <alignment horizontal="center" vertical="center" wrapText="1"/>
    </xf>
    <xf numFmtId="0" fontId="69" fillId="3" borderId="30" xfId="0" applyFont="1" applyFill="1" applyBorder="1" applyAlignment="1">
      <alignment horizontal="center" vertical="center" wrapText="1"/>
    </xf>
    <xf numFmtId="0" fontId="69" fillId="3" borderId="37" xfId="0" applyFont="1" applyFill="1" applyBorder="1" applyAlignment="1">
      <alignment horizontal="center" vertical="center" wrapText="1"/>
    </xf>
    <xf numFmtId="0" fontId="61" fillId="31" borderId="62" xfId="0" applyFont="1" applyFill="1" applyBorder="1" applyAlignment="1">
      <alignment horizontal="center" vertical="center" wrapText="1"/>
    </xf>
    <xf numFmtId="0" fontId="61" fillId="31" borderId="30" xfId="0" applyFont="1" applyFill="1" applyBorder="1" applyAlignment="1">
      <alignment horizontal="center" vertical="center" wrapText="1"/>
    </xf>
    <xf numFmtId="0" fontId="61" fillId="31" borderId="37" xfId="0" applyFont="1" applyFill="1" applyBorder="1" applyAlignment="1">
      <alignment horizontal="center" vertical="center" wrapText="1"/>
    </xf>
    <xf numFmtId="0" fontId="61" fillId="31" borderId="57" xfId="0" applyFont="1" applyFill="1" applyBorder="1" applyAlignment="1">
      <alignment horizontal="center" vertical="center" wrapText="1"/>
    </xf>
    <xf numFmtId="0" fontId="61" fillId="31" borderId="59" xfId="0" applyFont="1" applyFill="1" applyBorder="1" applyAlignment="1">
      <alignment horizontal="center" vertical="center" wrapText="1"/>
    </xf>
    <xf numFmtId="0" fontId="61" fillId="31" borderId="61" xfId="0" applyFont="1" applyFill="1" applyBorder="1" applyAlignment="1">
      <alignment horizontal="center" vertical="center" wrapText="1"/>
    </xf>
    <xf numFmtId="0" fontId="61" fillId="3" borderId="57" xfId="0" applyFont="1" applyFill="1" applyBorder="1" applyAlignment="1" applyProtection="1">
      <alignment horizontal="center" vertical="center" wrapText="1"/>
      <protection locked="0"/>
    </xf>
    <xf numFmtId="0" fontId="61" fillId="3" borderId="59" xfId="0" applyFont="1" applyFill="1" applyBorder="1" applyAlignment="1" applyProtection="1">
      <alignment horizontal="center" vertical="center" wrapText="1"/>
      <protection locked="0"/>
    </xf>
    <xf numFmtId="0" fontId="61" fillId="3" borderId="61" xfId="0" applyFont="1" applyFill="1" applyBorder="1" applyAlignment="1" applyProtection="1">
      <alignment horizontal="center" vertical="center" wrapText="1"/>
      <protection locked="0"/>
    </xf>
    <xf numFmtId="0" fontId="71" fillId="31" borderId="62" xfId="0" applyFont="1" applyFill="1" applyBorder="1" applyAlignment="1">
      <alignment horizontal="center" vertical="center" wrapText="1"/>
    </xf>
    <xf numFmtId="0" fontId="71" fillId="31" borderId="31" xfId="0" applyFont="1" applyFill="1" applyBorder="1" applyAlignment="1">
      <alignment horizontal="center" vertical="center" wrapText="1"/>
    </xf>
    <xf numFmtId="0" fontId="71" fillId="31" borderId="37" xfId="0" applyFont="1" applyFill="1" applyBorder="1" applyAlignment="1">
      <alignment horizontal="center" vertical="center" wrapText="1"/>
    </xf>
    <xf numFmtId="0" fontId="61" fillId="3" borderId="62" xfId="0" applyFont="1" applyFill="1" applyBorder="1" applyAlignment="1">
      <alignment horizontal="left" vertical="center" wrapText="1"/>
    </xf>
    <xf numFmtId="0" fontId="61" fillId="3" borderId="30" xfId="0" applyFont="1" applyFill="1" applyBorder="1" applyAlignment="1">
      <alignment horizontal="left" vertical="center" wrapText="1"/>
    </xf>
    <xf numFmtId="0" fontId="61" fillId="3" borderId="37" xfId="0" applyFont="1" applyFill="1" applyBorder="1" applyAlignment="1">
      <alignment horizontal="left" vertical="center" wrapText="1"/>
    </xf>
    <xf numFmtId="0" fontId="69" fillId="20" borderId="31" xfId="0" applyFont="1" applyFill="1" applyBorder="1" applyAlignment="1" applyProtection="1">
      <alignment horizontal="center" vertical="center" wrapText="1"/>
      <protection locked="0"/>
    </xf>
    <xf numFmtId="0" fontId="69" fillId="20" borderId="56" xfId="0" applyFont="1" applyFill="1" applyBorder="1" applyAlignment="1" applyProtection="1">
      <alignment horizontal="center" vertical="center" wrapText="1"/>
      <protection locked="0"/>
    </xf>
    <xf numFmtId="0" fontId="63" fillId="14" borderId="67" xfId="0" applyFont="1" applyFill="1" applyBorder="1" applyAlignment="1">
      <alignment horizontal="center" vertical="center"/>
    </xf>
    <xf numFmtId="0" fontId="63" fillId="14" borderId="46" xfId="0" applyFont="1" applyFill="1" applyBorder="1" applyAlignment="1">
      <alignment horizontal="center" vertical="center"/>
    </xf>
    <xf numFmtId="0" fontId="63" fillId="14" borderId="70" xfId="0" applyFont="1" applyFill="1" applyBorder="1" applyAlignment="1">
      <alignment horizontal="center" vertical="center"/>
    </xf>
    <xf numFmtId="0" fontId="73" fillId="31" borderId="62" xfId="0" applyFont="1" applyFill="1" applyBorder="1" applyAlignment="1">
      <alignment horizontal="center" vertical="center" wrapText="1"/>
    </xf>
    <xf numFmtId="0" fontId="73" fillId="31" borderId="30" xfId="0" applyFont="1" applyFill="1" applyBorder="1" applyAlignment="1">
      <alignment horizontal="center" vertical="center" wrapText="1"/>
    </xf>
    <xf numFmtId="0" fontId="73" fillId="31" borderId="37" xfId="0" applyFont="1" applyFill="1" applyBorder="1" applyAlignment="1">
      <alignment horizontal="center" vertical="center" wrapText="1"/>
    </xf>
    <xf numFmtId="0" fontId="73" fillId="0" borderId="63" xfId="0" applyFont="1" applyBorder="1" applyAlignment="1">
      <alignment horizontal="center" vertical="center" wrapText="1"/>
    </xf>
    <xf numFmtId="0" fontId="73" fillId="0" borderId="52" xfId="0" applyFont="1" applyBorder="1" applyAlignment="1">
      <alignment horizontal="center" vertical="center" wrapText="1"/>
    </xf>
    <xf numFmtId="0" fontId="73" fillId="0" borderId="64" xfId="0" applyFont="1" applyBorder="1" applyAlignment="1">
      <alignment horizontal="center" vertical="center" wrapText="1"/>
    </xf>
    <xf numFmtId="0" fontId="61" fillId="0" borderId="62"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37" xfId="0" applyFont="1" applyBorder="1" applyAlignment="1">
      <alignment horizontal="center" vertical="center" wrapText="1"/>
    </xf>
    <xf numFmtId="0" fontId="72" fillId="0" borderId="62" xfId="0" applyFont="1" applyBorder="1" applyAlignment="1">
      <alignment horizontal="center" vertical="center" wrapText="1"/>
    </xf>
    <xf numFmtId="0" fontId="72" fillId="0" borderId="30" xfId="0" applyFont="1" applyBorder="1" applyAlignment="1">
      <alignment horizontal="center" vertical="center" wrapText="1"/>
    </xf>
    <xf numFmtId="0" fontId="72" fillId="0" borderId="37" xfId="0" applyFont="1" applyBorder="1" applyAlignment="1">
      <alignment horizontal="center" vertical="center" wrapText="1"/>
    </xf>
    <xf numFmtId="0" fontId="69" fillId="31" borderId="62" xfId="0" applyFont="1" applyFill="1" applyBorder="1" applyAlignment="1">
      <alignment horizontal="center" vertical="center" wrapText="1"/>
    </xf>
    <xf numFmtId="0" fontId="69" fillId="31" borderId="30" xfId="0" applyFont="1" applyFill="1" applyBorder="1" applyAlignment="1">
      <alignment horizontal="center" vertical="center" wrapText="1"/>
    </xf>
    <xf numFmtId="0" fontId="69" fillId="31" borderId="37" xfId="0" applyFont="1" applyFill="1" applyBorder="1" applyAlignment="1">
      <alignment horizontal="center"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2" xfId="0" applyFont="1" applyFill="1" applyBorder="1" applyAlignment="1">
      <alignment horizontal="center" vertical="center" wrapText="1" readingOrder="1"/>
    </xf>
    <xf numFmtId="0" fontId="41" fillId="15" borderId="33" xfId="0" applyFont="1" applyFill="1" applyBorder="1" applyAlignment="1">
      <alignment horizontal="center" vertical="center" wrapText="1" readingOrder="1"/>
    </xf>
    <xf numFmtId="0" fontId="41" fillId="15" borderId="44"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59" fillId="34" borderId="30" xfId="0" applyFont="1" applyFill="1" applyBorder="1" applyAlignment="1">
      <alignment horizontal="center"/>
    </xf>
    <xf numFmtId="0" fontId="59" fillId="32" borderId="30" xfId="0" applyFont="1" applyFill="1" applyBorder="1" applyAlignment="1">
      <alignment horizontal="center" vertical="center" wrapText="1"/>
    </xf>
    <xf numFmtId="0" fontId="59" fillId="32" borderId="65" xfId="0" applyFont="1" applyFill="1" applyBorder="1" applyAlignment="1">
      <alignment horizontal="center" vertical="center" wrapText="1"/>
    </xf>
    <xf numFmtId="0" fontId="59" fillId="8" borderId="30" xfId="0" applyFont="1" applyFill="1" applyBorder="1" applyAlignment="1">
      <alignment horizontal="center" vertical="center" wrapText="1"/>
    </xf>
    <xf numFmtId="0" fontId="59" fillId="33" borderId="30" xfId="0" applyFont="1" applyFill="1" applyBorder="1" applyAlignment="1">
      <alignment horizontal="center"/>
    </xf>
    <xf numFmtId="0" fontId="59" fillId="26" borderId="30" xfId="0" applyFont="1" applyFill="1" applyBorder="1" applyAlignment="1">
      <alignment horizontal="center" vertical="center"/>
    </xf>
    <xf numFmtId="0" fontId="59" fillId="13" borderId="30" xfId="0" applyFont="1" applyFill="1" applyBorder="1" applyAlignment="1">
      <alignment horizontal="center"/>
    </xf>
    <xf numFmtId="0" fontId="59" fillId="33" borderId="52" xfId="0" applyFont="1" applyFill="1" applyBorder="1" applyAlignment="1">
      <alignment horizontal="center"/>
    </xf>
    <xf numFmtId="0" fontId="59" fillId="33" borderId="53" xfId="0" applyFont="1" applyFill="1" applyBorder="1" applyAlignment="1">
      <alignment horizontal="center"/>
    </xf>
    <xf numFmtId="0" fontId="59" fillId="33" borderId="54" xfId="0" applyFont="1" applyFill="1" applyBorder="1" applyAlignment="1">
      <alignment horizont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35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theme="0"/>
      </font>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rgb="FFFF0000"/>
        </patternFill>
      </fill>
    </dxf>
    <dxf>
      <fill>
        <patternFill>
          <bgColor theme="5" tint="0.39994506668294322"/>
        </patternFill>
      </fill>
    </dxf>
    <dxf>
      <fill>
        <patternFill>
          <bgColor rgb="FFFFFF00"/>
        </patternFill>
      </fill>
    </dxf>
    <dxf>
      <fill>
        <patternFill>
          <bgColor rgb="FF66FF33"/>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theme="0"/>
        </patternFill>
      </fill>
    </dxf>
    <dxf>
      <fill>
        <patternFill>
          <bgColor theme="0"/>
        </patternFill>
      </fill>
    </dxf>
    <dxf>
      <fill>
        <patternFill>
          <bgColor theme="0"/>
        </patternFill>
      </fill>
    </dxf>
    <dxf>
      <font>
        <color theme="0"/>
      </font>
      <fill>
        <patternFill>
          <bgColor theme="0"/>
        </patternFill>
      </fill>
    </dxf>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ont>
        <color theme="0"/>
      </font>
    </dxf>
    <dxf>
      <fill>
        <patternFill>
          <bgColor rgb="FFFF0000"/>
        </patternFill>
      </fill>
    </dxf>
    <dxf>
      <fill>
        <patternFill>
          <bgColor theme="9" tint="0.39994506668294322"/>
        </patternFill>
      </fill>
    </dxf>
    <dxf>
      <fill>
        <patternFill>
          <bgColor rgb="FFFFFF00"/>
        </patternFill>
      </fill>
    </dxf>
    <dxf>
      <fill>
        <patternFill>
          <bgColor rgb="FF66FF33"/>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C00000"/>
        </patternFill>
      </fill>
    </dxf>
    <dxf>
      <fill>
        <patternFill>
          <bgColor rgb="FFFABF8F"/>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00B050"/>
        </patternFill>
      </fill>
    </dxf>
    <dxf>
      <fill>
        <patternFill>
          <bgColor theme="0" tint="-0.14996795556505021"/>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ill>
        <patternFill>
          <bgColor theme="0" tint="-0.14996795556505021"/>
        </patternFill>
      </fill>
    </dxf>
    <dxf>
      <font>
        <color auto="1"/>
      </font>
      <fill>
        <patternFill>
          <bgColor rgb="FF00B050"/>
        </patternFill>
      </fill>
    </dxf>
    <dxf>
      <font>
        <color auto="1"/>
      </font>
      <fill>
        <patternFill>
          <bgColor rgb="FF00B050"/>
        </patternFill>
      </fill>
    </dxf>
    <dxf>
      <font>
        <color auto="1"/>
      </font>
      <fill>
        <patternFill>
          <bgColor rgb="FFFF0000"/>
        </patternFill>
      </fill>
    </dxf>
    <dxf>
      <fill>
        <patternFill>
          <bgColor theme="0" tint="-0.14996795556505021"/>
        </patternFill>
      </fill>
    </dxf>
    <dxf>
      <font>
        <color auto="1"/>
      </font>
      <fill>
        <patternFill>
          <bgColor rgb="FF00B050"/>
        </patternFill>
      </fill>
    </dxf>
    <dxf>
      <font>
        <color auto="1"/>
      </font>
      <fill>
        <patternFill>
          <bgColor rgb="FF00B050"/>
        </patternFill>
      </fill>
    </dxf>
    <dxf>
      <font>
        <color auto="1"/>
      </font>
      <fill>
        <patternFill>
          <bgColor rgb="FFFF0000"/>
        </patternFill>
      </fill>
    </dxf>
    <dxf>
      <fill>
        <patternFill>
          <bgColor theme="0" tint="-0.14996795556505021"/>
        </patternFill>
      </fill>
    </dxf>
    <dxf>
      <font>
        <color auto="1"/>
      </font>
      <fill>
        <patternFill>
          <bgColor rgb="FF00B050"/>
        </patternFill>
      </fill>
    </dxf>
    <dxf>
      <font>
        <color auto="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268432</xdr:colOff>
      <xdr:row>0</xdr:row>
      <xdr:rowOff>112568</xdr:rowOff>
    </xdr:from>
    <xdr:to>
      <xdr:col>2</xdr:col>
      <xdr:colOff>688145</xdr:colOff>
      <xdr:row>2</xdr:row>
      <xdr:rowOff>285703</xdr:rowOff>
    </xdr:to>
    <xdr:pic>
      <xdr:nvPicPr>
        <xdr:cNvPr id="3"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932" y="112568"/>
          <a:ext cx="2064940" cy="107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352425</xdr:colOff>
      <xdr:row>0</xdr:row>
      <xdr:rowOff>228600</xdr:rowOff>
    </xdr:from>
    <xdr:to>
      <xdr:col>18</xdr:col>
      <xdr:colOff>590550</xdr:colOff>
      <xdr:row>9</xdr:row>
      <xdr:rowOff>506719</xdr:rowOff>
    </xdr:to>
    <xdr:pic>
      <xdr:nvPicPr>
        <xdr:cNvPr id="7" name="Imagen 4">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468" t="17059" r="33960" b="13922"/>
        <a:stretch>
          <a:fillRect/>
        </a:stretch>
      </xdr:blipFill>
      <xdr:spPr bwMode="auto">
        <a:xfrm>
          <a:off x="20602575" y="228600"/>
          <a:ext cx="6334125" cy="501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361950</xdr:colOff>
      <xdr:row>56</xdr:row>
      <xdr:rowOff>178710</xdr:rowOff>
    </xdr:from>
    <xdr:to>
      <xdr:col>18</xdr:col>
      <xdr:colOff>628650</xdr:colOff>
      <xdr:row>75</xdr:row>
      <xdr:rowOff>114300</xdr:rowOff>
    </xdr:to>
    <xdr:pic>
      <xdr:nvPicPr>
        <xdr:cNvPr id="9" name="Imagen 5">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711" t="17320" r="34180" b="31892"/>
        <a:stretch>
          <a:fillRect/>
        </a:stretch>
      </xdr:blipFill>
      <xdr:spPr bwMode="auto">
        <a:xfrm>
          <a:off x="20612100" y="10665735"/>
          <a:ext cx="6362700" cy="3555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371475</xdr:colOff>
      <xdr:row>25</xdr:row>
      <xdr:rowOff>9525</xdr:rowOff>
    </xdr:from>
    <xdr:to>
      <xdr:col>18</xdr:col>
      <xdr:colOff>647699</xdr:colOff>
      <xdr:row>33</xdr:row>
      <xdr:rowOff>19050</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8420" t="16798" r="34399" b="17047"/>
        <a:stretch>
          <a:fillRect/>
        </a:stretch>
      </xdr:blipFill>
      <xdr:spPr bwMode="auto">
        <a:xfrm>
          <a:off x="20621625" y="5343525"/>
          <a:ext cx="6372224" cy="523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733425</xdr:colOff>
      <xdr:row>0</xdr:row>
      <xdr:rowOff>0</xdr:rowOff>
    </xdr:from>
    <xdr:to>
      <xdr:col>1</xdr:col>
      <xdr:colOff>2036365</xdr:colOff>
      <xdr:row>2</xdr:row>
      <xdr:rowOff>311680</xdr:rowOff>
    </xdr:to>
    <xdr:pic>
      <xdr:nvPicPr>
        <xdr:cNvPr id="8" name="Imagen 1">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3425" y="0"/>
          <a:ext cx="2064940" cy="107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0</xdr:rowOff>
    </xdr:from>
    <xdr:to>
      <xdr:col>2</xdr:col>
      <xdr:colOff>940990</xdr:colOff>
      <xdr:row>2</xdr:row>
      <xdr:rowOff>311680</xdr:rowOff>
    </xdr:to>
    <xdr:pic>
      <xdr:nvPicPr>
        <xdr:cNvPr id="3"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2064940" cy="107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284768</xdr:colOff>
      <xdr:row>0</xdr:row>
      <xdr:rowOff>19640</xdr:rowOff>
    </xdr:from>
    <xdr:to>
      <xdr:col>2</xdr:col>
      <xdr:colOff>808033</xdr:colOff>
      <xdr:row>2</xdr:row>
      <xdr:rowOff>327392</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768" y="19640"/>
          <a:ext cx="2064940" cy="107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304800</xdr:colOff>
      <xdr:row>4</xdr:row>
      <xdr:rowOff>304800</xdr:rowOff>
    </xdr:to>
    <xdr:sp macro="" textlink="">
      <xdr:nvSpPr>
        <xdr:cNvPr id="2" name="AutoShape 136" descr="https://www.medellin.gov.co/isolucion/Grafvinetas/alcald%C3%ADa%2098%20x%20610.jpg">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0" y="120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xdr:row>
      <xdr:rowOff>0</xdr:rowOff>
    </xdr:from>
    <xdr:to>
      <xdr:col>0</xdr:col>
      <xdr:colOff>304800</xdr:colOff>
      <xdr:row>1</xdr:row>
      <xdr:rowOff>490870</xdr:rowOff>
    </xdr:to>
    <xdr:sp macro="" textlink="">
      <xdr:nvSpPr>
        <xdr:cNvPr id="3" name="AutoShape 136" descr="https://www.medellin.gov.co/isolucion/Grafvinetas/alcald%C3%ADa%2098%20x%20610.jpg">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0" y="180975"/>
          <a:ext cx="30480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xdr:row>
      <xdr:rowOff>0</xdr:rowOff>
    </xdr:from>
    <xdr:to>
      <xdr:col>3</xdr:col>
      <xdr:colOff>304800</xdr:colOff>
      <xdr:row>1</xdr:row>
      <xdr:rowOff>304800</xdr:rowOff>
    </xdr:to>
    <xdr:sp macro="" textlink="">
      <xdr:nvSpPr>
        <xdr:cNvPr id="4" name="AutoShape 136" descr="https://www.medellin.gov.co/isolucion/Grafvinetas/alcald%C3%ADa%2098%20x%20610.jpg">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4705350"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751975</xdr:colOff>
      <xdr:row>0</xdr:row>
      <xdr:rowOff>250659</xdr:rowOff>
    </xdr:from>
    <xdr:to>
      <xdr:col>1</xdr:col>
      <xdr:colOff>22079</xdr:colOff>
      <xdr:row>2</xdr:row>
      <xdr:rowOff>271576</xdr:rowOff>
    </xdr:to>
    <xdr:pic>
      <xdr:nvPicPr>
        <xdr:cNvPr id="6" name="Imagen 1">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975" y="250659"/>
          <a:ext cx="2064940" cy="1073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nexo%203%20Racionalizaci&#243;n%20de%20Tr&#225;mite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DO\Proceso%20de%20Inclusi&#243;n%20Social%20y%20F\Equipo%20de%20Mejoramiento%20ISFA\EM%20ISFA%202024\4.%20EM%20ISFA%20ABRIL%202024\MATRIZ%20MULTICRITERIO%20PRIORIZACION%20ESTRATEGIAS%20ISFA%20Abril%2024%20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jolondonoc/Desktop/ADO/Riesgos/RIESGOS%202021%202022/Formato%20Matriz%20de%20Riesgos%20y%20Oportunidades%202022%20v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jolondonoc\Desktop\ADO\Riesgos\RIESGOS%202021%202022\Formato%20Matriz%20de%20Riesgos%20y%20Oportunidades%202022%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criterio"/>
      <sheetName val="Hoja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OFA"/>
      <sheetName val="Riesgos Gestión"/>
      <sheetName val="Formulas"/>
      <sheetName val="Riesgos Corrupción"/>
      <sheetName val="Conceptos"/>
    </sheetNames>
    <sheetDataSet>
      <sheetData sheetId="0"/>
      <sheetData sheetId="1"/>
      <sheetData sheetId="2">
        <row r="5">
          <cell r="B5" t="str">
            <v>RARA VEZ</v>
          </cell>
          <cell r="C5">
            <v>1</v>
          </cell>
          <cell r="E5" t="str">
            <v>INSIGNIFICANTE</v>
          </cell>
          <cell r="F5">
            <v>1</v>
          </cell>
          <cell r="J5" t="str">
            <v>11</v>
          </cell>
          <cell r="K5" t="str">
            <v>BAJO</v>
          </cell>
          <cell r="W5">
            <v>1</v>
          </cell>
          <cell r="X5" t="str">
            <v>MODERADO</v>
          </cell>
          <cell r="AB5" t="str">
            <v>Fuerte+Fuerte</v>
          </cell>
          <cell r="AC5" t="str">
            <v>Fuerte</v>
          </cell>
          <cell r="AD5">
            <v>100</v>
          </cell>
          <cell r="AN5" t="str">
            <v>Asignado</v>
          </cell>
          <cell r="AO5">
            <v>15</v>
          </cell>
          <cell r="AQ5">
            <v>1</v>
          </cell>
          <cell r="AR5" t="str">
            <v>RARA VEZ</v>
          </cell>
        </row>
        <row r="6">
          <cell r="B6" t="str">
            <v>IMPROBABLE</v>
          </cell>
          <cell r="C6">
            <v>2</v>
          </cell>
          <cell r="E6" t="str">
            <v>MENOR</v>
          </cell>
          <cell r="F6">
            <v>2</v>
          </cell>
          <cell r="J6" t="str">
            <v>12</v>
          </cell>
          <cell r="K6" t="str">
            <v>BAJO</v>
          </cell>
          <cell r="W6">
            <v>2</v>
          </cell>
          <cell r="X6" t="str">
            <v>MODERADO</v>
          </cell>
          <cell r="AB6" t="str">
            <v>Fuerte+Moderado</v>
          </cell>
          <cell r="AC6" t="str">
            <v>Moderado</v>
          </cell>
          <cell r="AD6">
            <v>50</v>
          </cell>
          <cell r="AN6" t="str">
            <v>No asignado</v>
          </cell>
          <cell r="AO6">
            <v>0</v>
          </cell>
          <cell r="AQ6">
            <v>2</v>
          </cell>
          <cell r="AR6" t="str">
            <v>IMPROBABLE</v>
          </cell>
        </row>
        <row r="7">
          <cell r="B7" t="str">
            <v>POSIBLE</v>
          </cell>
          <cell r="C7">
            <v>3</v>
          </cell>
          <cell r="E7" t="str">
            <v>MODERADO</v>
          </cell>
          <cell r="F7">
            <v>3</v>
          </cell>
          <cell r="J7" t="str">
            <v>13</v>
          </cell>
          <cell r="K7" t="str">
            <v>MODERADO</v>
          </cell>
          <cell r="W7">
            <v>3</v>
          </cell>
          <cell r="X7" t="str">
            <v>MODERADO</v>
          </cell>
          <cell r="AB7" t="str">
            <v>Fuerte+Débil</v>
          </cell>
          <cell r="AC7" t="str">
            <v>Débil</v>
          </cell>
          <cell r="AD7">
            <v>0</v>
          </cell>
          <cell r="AN7" t="str">
            <v>Adecuado</v>
          </cell>
          <cell r="AO7">
            <v>15</v>
          </cell>
          <cell r="AQ7">
            <v>3</v>
          </cell>
          <cell r="AR7" t="str">
            <v>POSIBLE</v>
          </cell>
        </row>
        <row r="8">
          <cell r="B8" t="str">
            <v>PROBABLE</v>
          </cell>
          <cell r="C8">
            <v>4</v>
          </cell>
          <cell r="E8" t="str">
            <v>MAYOR</v>
          </cell>
          <cell r="F8">
            <v>4</v>
          </cell>
          <cell r="J8" t="str">
            <v>14</v>
          </cell>
          <cell r="K8" t="str">
            <v>ALTO</v>
          </cell>
          <cell r="W8">
            <v>4</v>
          </cell>
          <cell r="X8" t="str">
            <v>MODERADO</v>
          </cell>
          <cell r="AB8" t="str">
            <v>Moderado+Fuerte</v>
          </cell>
          <cell r="AC8" t="str">
            <v>Moderado</v>
          </cell>
          <cell r="AD8">
            <v>50</v>
          </cell>
          <cell r="AN8" t="str">
            <v>Inadecuado</v>
          </cell>
          <cell r="AO8">
            <v>0</v>
          </cell>
          <cell r="AQ8">
            <v>4</v>
          </cell>
          <cell r="AR8" t="str">
            <v>PROBABLE</v>
          </cell>
        </row>
        <row r="9">
          <cell r="B9" t="str">
            <v>CASI SEGURO</v>
          </cell>
          <cell r="C9">
            <v>5</v>
          </cell>
          <cell r="E9" t="str">
            <v>CATASTROFICO</v>
          </cell>
          <cell r="F9">
            <v>5</v>
          </cell>
          <cell r="J9" t="str">
            <v>15</v>
          </cell>
          <cell r="K9" t="str">
            <v>ALTO</v>
          </cell>
          <cell r="W9">
            <v>5</v>
          </cell>
          <cell r="X9" t="str">
            <v>MODERADO</v>
          </cell>
          <cell r="AB9" t="str">
            <v>Moderado+Moderado</v>
          </cell>
          <cell r="AC9" t="str">
            <v>Moderado</v>
          </cell>
          <cell r="AD9">
            <v>50</v>
          </cell>
          <cell r="AN9" t="str">
            <v>Oportuna</v>
          </cell>
          <cell r="AO9">
            <v>15</v>
          </cell>
          <cell r="AQ9">
            <v>5</v>
          </cell>
          <cell r="AR9" t="str">
            <v>CASI SEGURO</v>
          </cell>
        </row>
        <row r="10">
          <cell r="J10" t="str">
            <v>21</v>
          </cell>
          <cell r="K10" t="str">
            <v>BAJO</v>
          </cell>
          <cell r="W10">
            <v>6</v>
          </cell>
          <cell r="X10" t="str">
            <v>MAYOR</v>
          </cell>
          <cell r="AB10" t="str">
            <v>Moderado+Débil</v>
          </cell>
          <cell r="AC10" t="str">
            <v>Débil</v>
          </cell>
          <cell r="AD10">
            <v>0</v>
          </cell>
          <cell r="AN10" t="str">
            <v>Inoportuna</v>
          </cell>
          <cell r="AO10">
            <v>0</v>
          </cell>
        </row>
        <row r="11">
          <cell r="J11" t="str">
            <v>22</v>
          </cell>
          <cell r="K11" t="str">
            <v>BAJO</v>
          </cell>
          <cell r="W11">
            <v>7</v>
          </cell>
          <cell r="X11" t="str">
            <v>MAYOR</v>
          </cell>
          <cell r="AB11" t="str">
            <v>Débil+Fuerte</v>
          </cell>
          <cell r="AC11" t="str">
            <v>Débil</v>
          </cell>
          <cell r="AD11">
            <v>0</v>
          </cell>
          <cell r="AN11" t="str">
            <v>Prevenir</v>
          </cell>
          <cell r="AO11">
            <v>15</v>
          </cell>
        </row>
        <row r="12">
          <cell r="J12" t="str">
            <v>23</v>
          </cell>
          <cell r="K12" t="str">
            <v>MODERADO</v>
          </cell>
          <cell r="W12">
            <v>8</v>
          </cell>
          <cell r="X12" t="str">
            <v>MAYOR</v>
          </cell>
          <cell r="AB12" t="str">
            <v>Débil+Moderado</v>
          </cell>
          <cell r="AC12" t="str">
            <v>Débil</v>
          </cell>
          <cell r="AD12">
            <v>0</v>
          </cell>
          <cell r="AN12" t="str">
            <v>Detectar</v>
          </cell>
          <cell r="AO12">
            <v>10</v>
          </cell>
        </row>
        <row r="13">
          <cell r="J13" t="str">
            <v>24</v>
          </cell>
          <cell r="K13" t="str">
            <v>ALTO</v>
          </cell>
          <cell r="W13">
            <v>9</v>
          </cell>
          <cell r="X13" t="str">
            <v>MAYOR</v>
          </cell>
          <cell r="AB13" t="str">
            <v>Débil+Débil</v>
          </cell>
          <cell r="AC13" t="str">
            <v>Débil</v>
          </cell>
          <cell r="AD13">
            <v>0</v>
          </cell>
          <cell r="AN13" t="str">
            <v>No es un control</v>
          </cell>
          <cell r="AO13">
            <v>0</v>
          </cell>
        </row>
        <row r="14">
          <cell r="J14" t="str">
            <v>25</v>
          </cell>
          <cell r="K14" t="str">
            <v>EXTREMO</v>
          </cell>
          <cell r="W14">
            <v>10</v>
          </cell>
          <cell r="X14" t="str">
            <v>MAYOR</v>
          </cell>
          <cell r="AN14" t="str">
            <v>Confiable</v>
          </cell>
          <cell r="AO14">
            <v>15</v>
          </cell>
        </row>
        <row r="15">
          <cell r="J15" t="str">
            <v>31</v>
          </cell>
          <cell r="K15" t="str">
            <v>BAJO</v>
          </cell>
          <cell r="W15">
            <v>11</v>
          </cell>
          <cell r="X15" t="str">
            <v>MAYOR</v>
          </cell>
          <cell r="AN15" t="str">
            <v>No confiable</v>
          </cell>
          <cell r="AO15">
            <v>0</v>
          </cell>
        </row>
        <row r="16">
          <cell r="J16" t="str">
            <v>32</v>
          </cell>
          <cell r="K16" t="str">
            <v>MODERADO</v>
          </cell>
          <cell r="W16">
            <v>12</v>
          </cell>
          <cell r="X16" t="str">
            <v>CATASTROFICO</v>
          </cell>
          <cell r="AN16" t="str">
            <v>Se investigan y se resuelven oportunamente</v>
          </cell>
          <cell r="AO16">
            <v>15</v>
          </cell>
        </row>
        <row r="17">
          <cell r="J17" t="str">
            <v>33</v>
          </cell>
          <cell r="K17" t="str">
            <v>ALTO</v>
          </cell>
          <cell r="W17">
            <v>13</v>
          </cell>
          <cell r="X17" t="str">
            <v>CATASTROFICO</v>
          </cell>
          <cell r="AN17" t="str">
            <v>No se investigan y se resuelven oportunamente</v>
          </cell>
          <cell r="AO17">
            <v>0</v>
          </cell>
        </row>
        <row r="18">
          <cell r="J18" t="str">
            <v>34</v>
          </cell>
          <cell r="K18" t="str">
            <v>EXTREMO</v>
          </cell>
          <cell r="W18">
            <v>14</v>
          </cell>
          <cell r="X18" t="str">
            <v>CATASTROFICO</v>
          </cell>
          <cell r="AN18" t="str">
            <v>Completa</v>
          </cell>
          <cell r="AO18">
            <v>10</v>
          </cell>
        </row>
        <row r="19">
          <cell r="J19" t="str">
            <v>35</v>
          </cell>
          <cell r="K19" t="str">
            <v>EXTREMO</v>
          </cell>
          <cell r="W19">
            <v>15</v>
          </cell>
          <cell r="X19" t="str">
            <v>CATASTROFICO</v>
          </cell>
          <cell r="AN19" t="str">
            <v>Incompleta</v>
          </cell>
          <cell r="AO19">
            <v>5</v>
          </cell>
        </row>
        <row r="20">
          <cell r="J20" t="str">
            <v>41</v>
          </cell>
          <cell r="K20" t="str">
            <v>MODERADO</v>
          </cell>
          <cell r="W20">
            <v>16</v>
          </cell>
          <cell r="X20" t="str">
            <v>CATASTROFICO</v>
          </cell>
          <cell r="AN20" t="str">
            <v>No existe</v>
          </cell>
          <cell r="AO20">
            <v>0</v>
          </cell>
        </row>
        <row r="21">
          <cell r="J21" t="str">
            <v>42</v>
          </cell>
          <cell r="K21" t="str">
            <v>ALTO</v>
          </cell>
          <cell r="W21">
            <v>17</v>
          </cell>
          <cell r="X21" t="str">
            <v>CATASTROFICO</v>
          </cell>
        </row>
        <row r="22">
          <cell r="J22" t="str">
            <v>43</v>
          </cell>
          <cell r="K22" t="str">
            <v>ALTO</v>
          </cell>
          <cell r="W22">
            <v>18</v>
          </cell>
          <cell r="X22" t="str">
            <v>CATASTROFICO</v>
          </cell>
        </row>
        <row r="23">
          <cell r="J23" t="str">
            <v>44</v>
          </cell>
          <cell r="K23" t="str">
            <v>EXTREMO</v>
          </cell>
          <cell r="W23">
            <v>19</v>
          </cell>
          <cell r="X23" t="str">
            <v>CATASTROFICO</v>
          </cell>
        </row>
        <row r="24">
          <cell r="J24" t="str">
            <v>45</v>
          </cell>
          <cell r="K24" t="str">
            <v>EXTREMO</v>
          </cell>
        </row>
        <row r="25">
          <cell r="J25" t="str">
            <v>51</v>
          </cell>
          <cell r="K25" t="str">
            <v>ALTO</v>
          </cell>
        </row>
        <row r="26">
          <cell r="J26" t="str">
            <v>52</v>
          </cell>
          <cell r="K26" t="str">
            <v>ALTO</v>
          </cell>
        </row>
        <row r="27">
          <cell r="J27" t="str">
            <v>53</v>
          </cell>
          <cell r="K27" t="str">
            <v>EXTREMO</v>
          </cell>
        </row>
        <row r="28">
          <cell r="J28" t="str">
            <v>54</v>
          </cell>
          <cell r="K28" t="str">
            <v>EXTREMO</v>
          </cell>
        </row>
        <row r="29">
          <cell r="J29" t="str">
            <v>55</v>
          </cell>
          <cell r="K29" t="str">
            <v>EXTREMO</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zoomScale="110" zoomScaleNormal="110" workbookViewId="0">
      <selection activeCell="K6" sqref="K6"/>
    </sheetView>
  </sheetViews>
  <sheetFormatPr baseColWidth="10" defaultColWidth="11.44140625" defaultRowHeight="14.4" x14ac:dyDescent="0.3"/>
  <cols>
    <col min="1" max="1" width="2.88671875" style="83" customWidth="1"/>
    <col min="2" max="2" width="24.6640625" style="83" customWidth="1"/>
    <col min="3" max="4" width="19.88671875" style="83" customWidth="1"/>
    <col min="5" max="5" width="48.33203125" style="83" customWidth="1"/>
    <col min="6" max="6" width="46.5546875" style="83" customWidth="1"/>
    <col min="7" max="7" width="12" style="83" customWidth="1"/>
    <col min="8" max="8" width="14.109375" style="83" customWidth="1"/>
    <col min="9" max="16384" width="11.44140625" style="83"/>
  </cols>
  <sheetData>
    <row r="1" spans="1:8" ht="35.25" customHeight="1" x14ac:dyDescent="0.3">
      <c r="A1" s="204"/>
      <c r="B1" s="336" t="s">
        <v>0</v>
      </c>
      <c r="C1" s="337"/>
      <c r="D1" s="337"/>
      <c r="E1" s="337"/>
      <c r="F1" s="337"/>
      <c r="G1" s="320" t="s">
        <v>1</v>
      </c>
      <c r="H1" s="321"/>
    </row>
    <row r="2" spans="1:8" ht="35.25" customHeight="1" x14ac:dyDescent="0.3">
      <c r="A2" s="205"/>
      <c r="B2" s="338"/>
      <c r="C2" s="339"/>
      <c r="D2" s="339"/>
      <c r="E2" s="339"/>
      <c r="F2" s="339"/>
      <c r="G2" s="322" t="s">
        <v>2</v>
      </c>
      <c r="H2" s="323"/>
    </row>
    <row r="3" spans="1:8" ht="35.25" customHeight="1" thickBot="1" x14ac:dyDescent="0.35">
      <c r="A3" s="206"/>
      <c r="B3" s="340"/>
      <c r="C3" s="341"/>
      <c r="D3" s="341"/>
      <c r="E3" s="341"/>
      <c r="F3" s="341"/>
      <c r="G3" s="342" t="s">
        <v>3</v>
      </c>
      <c r="H3" s="343"/>
    </row>
    <row r="4" spans="1:8" ht="18" x14ac:dyDescent="0.3">
      <c r="B4" s="324" t="s">
        <v>4</v>
      </c>
      <c r="C4" s="325"/>
      <c r="D4" s="325"/>
      <c r="E4" s="325"/>
      <c r="F4" s="325"/>
      <c r="G4" s="325"/>
      <c r="H4" s="326"/>
    </row>
    <row r="5" spans="1:8" ht="62.25" customHeight="1" x14ac:dyDescent="0.3">
      <c r="B5" s="327" t="s">
        <v>5</v>
      </c>
      <c r="C5" s="328"/>
      <c r="D5" s="328"/>
      <c r="E5" s="328"/>
      <c r="F5" s="328"/>
      <c r="G5" s="328"/>
      <c r="H5" s="329"/>
    </row>
    <row r="6" spans="1:8" ht="69" customHeight="1" x14ac:dyDescent="0.3">
      <c r="B6" s="330"/>
      <c r="C6" s="331"/>
      <c r="D6" s="331"/>
      <c r="E6" s="331"/>
      <c r="F6" s="331"/>
      <c r="G6" s="331"/>
      <c r="H6" s="332"/>
    </row>
    <row r="7" spans="1:8" ht="23.25" customHeight="1" x14ac:dyDescent="0.3">
      <c r="B7" s="317" t="s">
        <v>6</v>
      </c>
      <c r="C7" s="318"/>
      <c r="D7" s="318"/>
      <c r="E7" s="318"/>
      <c r="F7" s="318"/>
      <c r="G7" s="318"/>
      <c r="H7" s="319"/>
    </row>
    <row r="8" spans="1:8" ht="112.5" customHeight="1" x14ac:dyDescent="0.3">
      <c r="B8" s="333" t="s">
        <v>7</v>
      </c>
      <c r="C8" s="334"/>
      <c r="D8" s="334"/>
      <c r="E8" s="334"/>
      <c r="F8" s="334"/>
      <c r="G8" s="334"/>
      <c r="H8" s="335"/>
    </row>
    <row r="9" spans="1:8" ht="99.75" customHeight="1" x14ac:dyDescent="0.3">
      <c r="B9" s="312" t="s">
        <v>8</v>
      </c>
      <c r="C9" s="313"/>
      <c r="D9" s="313"/>
      <c r="E9" s="313"/>
      <c r="F9" s="313"/>
      <c r="G9" s="313"/>
      <c r="H9" s="314"/>
    </row>
    <row r="10" spans="1:8" ht="99.75" customHeight="1" x14ac:dyDescent="0.3">
      <c r="B10" s="312"/>
      <c r="C10" s="313"/>
      <c r="D10" s="313"/>
      <c r="E10" s="313"/>
      <c r="F10" s="313"/>
      <c r="G10" s="313"/>
      <c r="H10" s="314"/>
    </row>
    <row r="11" spans="1:8" x14ac:dyDescent="0.3">
      <c r="B11" s="106"/>
      <c r="C11" s="315" t="s">
        <v>9</v>
      </c>
      <c r="D11" s="315"/>
      <c r="E11" s="316" t="s">
        <v>10</v>
      </c>
      <c r="F11" s="316"/>
      <c r="G11" s="109"/>
      <c r="H11" s="110"/>
    </row>
    <row r="12" spans="1:8" x14ac:dyDescent="0.3">
      <c r="B12" s="106"/>
      <c r="C12" s="344" t="s">
        <v>11</v>
      </c>
      <c r="D12" s="344"/>
      <c r="E12" s="345" t="s">
        <v>12</v>
      </c>
      <c r="F12" s="345"/>
      <c r="G12" s="109"/>
      <c r="H12" s="110"/>
    </row>
    <row r="13" spans="1:8" x14ac:dyDescent="0.3">
      <c r="B13" s="106"/>
      <c r="C13" s="344" t="s">
        <v>13</v>
      </c>
      <c r="D13" s="344"/>
      <c r="E13" s="345" t="s">
        <v>14</v>
      </c>
      <c r="F13" s="345"/>
      <c r="G13" s="109"/>
      <c r="H13" s="110"/>
    </row>
    <row r="14" spans="1:8" x14ac:dyDescent="0.3">
      <c r="B14" s="106"/>
      <c r="C14" s="344" t="s">
        <v>15</v>
      </c>
      <c r="D14" s="344"/>
      <c r="E14" s="345" t="s">
        <v>16</v>
      </c>
      <c r="F14" s="345"/>
      <c r="G14" s="109"/>
      <c r="H14" s="110"/>
    </row>
    <row r="15" spans="1:8" ht="44.25" customHeight="1" x14ac:dyDescent="0.3">
      <c r="B15" s="106"/>
      <c r="C15" s="344" t="s">
        <v>17</v>
      </c>
      <c r="D15" s="344"/>
      <c r="E15" s="345" t="s">
        <v>18</v>
      </c>
      <c r="F15" s="345"/>
      <c r="G15" s="109"/>
      <c r="H15" s="110"/>
    </row>
    <row r="16" spans="1:8" x14ac:dyDescent="0.3">
      <c r="B16" s="106"/>
      <c r="C16" s="346" t="s">
        <v>19</v>
      </c>
      <c r="D16" s="346"/>
      <c r="E16" s="345" t="s">
        <v>20</v>
      </c>
      <c r="F16" s="345"/>
      <c r="G16" s="109"/>
      <c r="H16" s="110"/>
    </row>
    <row r="17" spans="2:8" x14ac:dyDescent="0.3">
      <c r="B17" s="106"/>
      <c r="C17" s="346" t="s">
        <v>21</v>
      </c>
      <c r="D17" s="346"/>
      <c r="E17" s="345" t="s">
        <v>22</v>
      </c>
      <c r="F17" s="345"/>
      <c r="G17" s="109"/>
      <c r="H17" s="110"/>
    </row>
    <row r="18" spans="2:8" ht="23.25" customHeight="1" x14ac:dyDescent="0.3">
      <c r="B18" s="106"/>
      <c r="C18" s="346" t="s">
        <v>23</v>
      </c>
      <c r="D18" s="346"/>
      <c r="E18" s="345" t="s">
        <v>24</v>
      </c>
      <c r="F18" s="345"/>
      <c r="G18" s="109"/>
      <c r="H18" s="110"/>
    </row>
    <row r="19" spans="2:8" ht="44.25" customHeight="1" x14ac:dyDescent="0.3">
      <c r="B19" s="106"/>
      <c r="C19" s="346" t="s">
        <v>25</v>
      </c>
      <c r="D19" s="346"/>
      <c r="E19" s="345" t="s">
        <v>26</v>
      </c>
      <c r="F19" s="345"/>
      <c r="G19" s="109"/>
      <c r="H19" s="110"/>
    </row>
    <row r="20" spans="2:8" ht="28.5" customHeight="1" x14ac:dyDescent="0.3">
      <c r="B20" s="106"/>
      <c r="C20" s="346" t="s">
        <v>27</v>
      </c>
      <c r="D20" s="346"/>
      <c r="E20" s="345" t="s">
        <v>28</v>
      </c>
      <c r="F20" s="345"/>
      <c r="G20" s="109"/>
      <c r="H20" s="110"/>
    </row>
    <row r="21" spans="2:8" ht="30" customHeight="1" x14ac:dyDescent="0.3">
      <c r="B21" s="106"/>
      <c r="C21" s="346" t="s">
        <v>29</v>
      </c>
      <c r="D21" s="346"/>
      <c r="E21" s="345" t="s">
        <v>30</v>
      </c>
      <c r="F21" s="345"/>
      <c r="G21" s="109"/>
      <c r="H21" s="110"/>
    </row>
    <row r="22" spans="2:8" ht="29.25" customHeight="1" x14ac:dyDescent="0.3">
      <c r="B22" s="106"/>
      <c r="C22" s="346" t="s">
        <v>31</v>
      </c>
      <c r="D22" s="346"/>
      <c r="E22" s="345" t="s">
        <v>32</v>
      </c>
      <c r="F22" s="345"/>
      <c r="G22" s="109"/>
      <c r="H22" s="110"/>
    </row>
    <row r="23" spans="2:8" ht="32.25" customHeight="1" x14ac:dyDescent="0.3">
      <c r="B23" s="106"/>
      <c r="C23" s="346" t="s">
        <v>33</v>
      </c>
      <c r="D23" s="346"/>
      <c r="E23" s="345" t="s">
        <v>34</v>
      </c>
      <c r="F23" s="345"/>
      <c r="G23" s="109"/>
      <c r="H23" s="110"/>
    </row>
    <row r="24" spans="2:8" ht="39" customHeight="1" x14ac:dyDescent="0.3">
      <c r="B24" s="106"/>
      <c r="C24" s="346" t="s">
        <v>35</v>
      </c>
      <c r="D24" s="346"/>
      <c r="E24" s="345" t="s">
        <v>36</v>
      </c>
      <c r="F24" s="345"/>
      <c r="G24" s="109"/>
      <c r="H24" s="110"/>
    </row>
    <row r="25" spans="2:8" x14ac:dyDescent="0.3">
      <c r="B25" s="106"/>
      <c r="C25" s="346" t="s">
        <v>37</v>
      </c>
      <c r="D25" s="346"/>
      <c r="E25" s="345" t="s">
        <v>38</v>
      </c>
      <c r="F25" s="345"/>
      <c r="G25" s="109"/>
      <c r="H25" s="110"/>
    </row>
    <row r="26" spans="2:8" x14ac:dyDescent="0.3">
      <c r="B26" s="106"/>
      <c r="C26" s="346" t="s">
        <v>39</v>
      </c>
      <c r="D26" s="346"/>
      <c r="E26" s="345" t="s">
        <v>40</v>
      </c>
      <c r="F26" s="345"/>
      <c r="G26" s="109"/>
      <c r="H26" s="110"/>
    </row>
    <row r="27" spans="2:8" x14ac:dyDescent="0.3">
      <c r="B27" s="106"/>
      <c r="C27" s="346" t="s">
        <v>41</v>
      </c>
      <c r="D27" s="346"/>
      <c r="E27" s="345" t="s">
        <v>42</v>
      </c>
      <c r="F27" s="345"/>
      <c r="G27" s="109"/>
      <c r="H27" s="110"/>
    </row>
    <row r="28" spans="2:8" x14ac:dyDescent="0.3">
      <c r="B28" s="106"/>
      <c r="C28" s="346" t="s">
        <v>43</v>
      </c>
      <c r="D28" s="346"/>
      <c r="E28" s="345" t="s">
        <v>44</v>
      </c>
      <c r="F28" s="345"/>
      <c r="G28" s="109"/>
      <c r="H28" s="110"/>
    </row>
    <row r="29" spans="2:8" x14ac:dyDescent="0.3">
      <c r="B29" s="106"/>
      <c r="C29" s="346" t="s">
        <v>45</v>
      </c>
      <c r="D29" s="346"/>
      <c r="E29" s="345" t="s">
        <v>46</v>
      </c>
      <c r="F29" s="345"/>
      <c r="G29" s="109"/>
      <c r="H29" s="110"/>
    </row>
    <row r="30" spans="2:8" x14ac:dyDescent="0.3">
      <c r="B30" s="106"/>
      <c r="C30" s="346" t="s">
        <v>47</v>
      </c>
      <c r="D30" s="346"/>
      <c r="E30" s="345" t="s">
        <v>48</v>
      </c>
      <c r="F30" s="345"/>
      <c r="G30" s="109"/>
      <c r="H30" s="110"/>
    </row>
    <row r="31" spans="2:8" x14ac:dyDescent="0.3">
      <c r="B31" s="106"/>
      <c r="C31" s="346" t="s">
        <v>49</v>
      </c>
      <c r="D31" s="346"/>
      <c r="E31" s="345" t="s">
        <v>50</v>
      </c>
      <c r="F31" s="345"/>
      <c r="G31" s="109"/>
      <c r="H31" s="110"/>
    </row>
    <row r="32" spans="2:8" ht="27" customHeight="1" x14ac:dyDescent="0.3">
      <c r="B32" s="106"/>
      <c r="C32" s="346" t="s">
        <v>51</v>
      </c>
      <c r="D32" s="346"/>
      <c r="E32" s="345" t="s">
        <v>52</v>
      </c>
      <c r="F32" s="345"/>
      <c r="G32" s="109"/>
      <c r="H32" s="110"/>
    </row>
    <row r="33" spans="2:8" ht="31.5" customHeight="1" x14ac:dyDescent="0.3">
      <c r="B33" s="106"/>
      <c r="C33" s="346" t="s">
        <v>53</v>
      </c>
      <c r="D33" s="346"/>
      <c r="E33" s="345" t="s">
        <v>54</v>
      </c>
      <c r="F33" s="345"/>
      <c r="G33" s="109"/>
      <c r="H33" s="110"/>
    </row>
    <row r="34" spans="2:8" ht="43.5" customHeight="1" x14ac:dyDescent="0.3">
      <c r="B34" s="106"/>
      <c r="C34" s="346" t="s">
        <v>55</v>
      </c>
      <c r="D34" s="346"/>
      <c r="E34" s="345" t="s">
        <v>56</v>
      </c>
      <c r="F34" s="345"/>
      <c r="G34" s="109"/>
      <c r="H34" s="110"/>
    </row>
    <row r="35" spans="2:8" ht="31.5" customHeight="1" x14ac:dyDescent="0.3">
      <c r="B35" s="106"/>
      <c r="C35" s="346" t="s">
        <v>57</v>
      </c>
      <c r="D35" s="346"/>
      <c r="E35" s="345" t="s">
        <v>58</v>
      </c>
      <c r="F35" s="345"/>
      <c r="G35" s="109"/>
      <c r="H35" s="110"/>
    </row>
    <row r="36" spans="2:8" x14ac:dyDescent="0.3">
      <c r="B36" s="106"/>
      <c r="C36" s="346"/>
      <c r="D36" s="346"/>
      <c r="E36" s="347"/>
      <c r="F36" s="347"/>
      <c r="G36" s="109"/>
      <c r="H36" s="110"/>
    </row>
    <row r="37" spans="2:8" x14ac:dyDescent="0.3">
      <c r="B37" s="106"/>
      <c r="C37" s="107"/>
      <c r="D37" s="107"/>
      <c r="E37" s="108"/>
      <c r="F37" s="108"/>
      <c r="G37" s="109"/>
      <c r="H37" s="110"/>
    </row>
    <row r="38" spans="2:8" ht="15" thickBot="1" x14ac:dyDescent="0.35">
      <c r="B38" s="111"/>
      <c r="C38" s="112"/>
      <c r="D38" s="112"/>
      <c r="E38" s="112"/>
      <c r="F38" s="112"/>
      <c r="G38" s="112"/>
      <c r="H38" s="113"/>
    </row>
  </sheetData>
  <protectedRanges>
    <protectedRange sqref="G2:G3" name="Rango2_2"/>
  </protectedRanges>
  <mergeCells count="61">
    <mergeCell ref="C14:D14"/>
    <mergeCell ref="E14:F14"/>
    <mergeCell ref="E21:F21"/>
    <mergeCell ref="C21:D21"/>
    <mergeCell ref="C24:D24"/>
    <mergeCell ref="E24:F24"/>
    <mergeCell ref="E22:F22"/>
    <mergeCell ref="C22:D22"/>
    <mergeCell ref="C23:D23"/>
    <mergeCell ref="E23:F23"/>
    <mergeCell ref="C33:D33"/>
    <mergeCell ref="E33:F33"/>
    <mergeCell ref="C36:D36"/>
    <mergeCell ref="E36:F36"/>
    <mergeCell ref="C35:D35"/>
    <mergeCell ref="E35:F35"/>
    <mergeCell ref="C34:D34"/>
    <mergeCell ref="E34:F34"/>
    <mergeCell ref="C25:D25"/>
    <mergeCell ref="E25:F25"/>
    <mergeCell ref="E32:F32"/>
    <mergeCell ref="C30:D30"/>
    <mergeCell ref="C29:D29"/>
    <mergeCell ref="E29:F29"/>
    <mergeCell ref="E30:F30"/>
    <mergeCell ref="C26:D26"/>
    <mergeCell ref="E26:F26"/>
    <mergeCell ref="C28:D28"/>
    <mergeCell ref="E28:F28"/>
    <mergeCell ref="E31:F31"/>
    <mergeCell ref="C32:D32"/>
    <mergeCell ref="C31:D31"/>
    <mergeCell ref="E27:F27"/>
    <mergeCell ref="C27:D27"/>
    <mergeCell ref="C12:D12"/>
    <mergeCell ref="E12:F12"/>
    <mergeCell ref="C16:D16"/>
    <mergeCell ref="E16:F16"/>
    <mergeCell ref="C20:D20"/>
    <mergeCell ref="C17:D17"/>
    <mergeCell ref="C18:D18"/>
    <mergeCell ref="C19:D19"/>
    <mergeCell ref="E17:F17"/>
    <mergeCell ref="E18:F18"/>
    <mergeCell ref="E19:F19"/>
    <mergeCell ref="E20:F20"/>
    <mergeCell ref="C15:D15"/>
    <mergeCell ref="E15:F15"/>
    <mergeCell ref="C13:D13"/>
    <mergeCell ref="E13:F13"/>
    <mergeCell ref="B9:H10"/>
    <mergeCell ref="C11:D11"/>
    <mergeCell ref="E11:F11"/>
    <mergeCell ref="B7:H7"/>
    <mergeCell ref="G1:H1"/>
    <mergeCell ref="G2:H2"/>
    <mergeCell ref="B4:H4"/>
    <mergeCell ref="B5:H6"/>
    <mergeCell ref="B8:H8"/>
    <mergeCell ref="B1:F3"/>
    <mergeCell ref="G3:H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249977111117893"/>
  </sheetPr>
  <dimension ref="B1:BE16"/>
  <sheetViews>
    <sheetView workbookViewId="0">
      <selection activeCell="M12" sqref="M12"/>
    </sheetView>
  </sheetViews>
  <sheetFormatPr baseColWidth="10" defaultColWidth="14.33203125" defaultRowHeight="13.8" x14ac:dyDescent="0.3"/>
  <cols>
    <col min="1" max="2" width="14.33203125" style="85"/>
    <col min="3" max="3" width="17" style="85" customWidth="1"/>
    <col min="4" max="4" width="14.33203125" style="85"/>
    <col min="5" max="5" width="46" style="85" customWidth="1"/>
    <col min="6" max="16384" width="14.33203125" style="85"/>
  </cols>
  <sheetData>
    <row r="1" spans="2:57" ht="24" customHeight="1" thickBot="1" x14ac:dyDescent="0.35">
      <c r="B1" s="660" t="s">
        <v>380</v>
      </c>
      <c r="C1" s="661"/>
      <c r="D1" s="661"/>
      <c r="E1" s="661"/>
      <c r="F1" s="662"/>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c r="BC1" s="203"/>
      <c r="BD1" s="203"/>
      <c r="BE1" s="203"/>
    </row>
    <row r="2" spans="2:57" ht="16.2" thickBot="1" x14ac:dyDescent="0.35">
      <c r="B2" s="86"/>
      <c r="C2" s="86"/>
      <c r="D2" s="86"/>
      <c r="E2" s="86"/>
      <c r="F2" s="86"/>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c r="AX2" s="203"/>
      <c r="AY2" s="203"/>
      <c r="AZ2" s="203"/>
      <c r="BA2" s="203"/>
      <c r="BB2" s="203"/>
      <c r="BC2" s="203"/>
      <c r="BD2" s="203"/>
      <c r="BE2" s="203"/>
    </row>
    <row r="3" spans="2:57" ht="16.2" thickBot="1" x14ac:dyDescent="0.35">
      <c r="B3" s="664" t="s">
        <v>381</v>
      </c>
      <c r="C3" s="665"/>
      <c r="D3" s="665"/>
      <c r="E3" s="98" t="s">
        <v>281</v>
      </c>
      <c r="F3" s="99" t="s">
        <v>382</v>
      </c>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row>
    <row r="4" spans="2:57" ht="31.2" x14ac:dyDescent="0.3">
      <c r="B4" s="666" t="s">
        <v>383</v>
      </c>
      <c r="C4" s="668" t="s">
        <v>245</v>
      </c>
      <c r="D4" s="87" t="s">
        <v>384</v>
      </c>
      <c r="E4" s="88" t="s">
        <v>385</v>
      </c>
      <c r="F4" s="89">
        <v>0.25</v>
      </c>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row>
    <row r="5" spans="2:57" ht="46.8" x14ac:dyDescent="0.3">
      <c r="B5" s="667"/>
      <c r="C5" s="669"/>
      <c r="D5" s="90" t="s">
        <v>386</v>
      </c>
      <c r="E5" s="91" t="s">
        <v>387</v>
      </c>
      <c r="F5" s="92">
        <v>0.15</v>
      </c>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row>
    <row r="6" spans="2:57" ht="46.8" x14ac:dyDescent="0.3">
      <c r="B6" s="667"/>
      <c r="C6" s="669"/>
      <c r="D6" s="90" t="s">
        <v>388</v>
      </c>
      <c r="E6" s="91" t="s">
        <v>389</v>
      </c>
      <c r="F6" s="92">
        <v>0.1</v>
      </c>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row>
    <row r="7" spans="2:57" ht="62.4" x14ac:dyDescent="0.3">
      <c r="B7" s="667"/>
      <c r="C7" s="669" t="s">
        <v>246</v>
      </c>
      <c r="D7" s="90" t="s">
        <v>390</v>
      </c>
      <c r="E7" s="91" t="s">
        <v>391</v>
      </c>
      <c r="F7" s="92">
        <v>0.25</v>
      </c>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row>
    <row r="8" spans="2:57" ht="31.2" x14ac:dyDescent="0.3">
      <c r="B8" s="667"/>
      <c r="C8" s="669"/>
      <c r="D8" s="90" t="s">
        <v>392</v>
      </c>
      <c r="E8" s="91" t="s">
        <v>393</v>
      </c>
      <c r="F8" s="92">
        <v>0.15</v>
      </c>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row>
    <row r="9" spans="2:57" ht="46.8" x14ac:dyDescent="0.3">
      <c r="B9" s="667" t="s">
        <v>394</v>
      </c>
      <c r="C9" s="669" t="s">
        <v>248</v>
      </c>
      <c r="D9" s="90" t="s">
        <v>395</v>
      </c>
      <c r="E9" s="91" t="s">
        <v>396</v>
      </c>
      <c r="F9" s="93" t="s">
        <v>397</v>
      </c>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X9" s="203"/>
      <c r="AY9" s="203"/>
      <c r="AZ9" s="203"/>
      <c r="BA9" s="203"/>
      <c r="BB9" s="203"/>
      <c r="BC9" s="203"/>
      <c r="BD9" s="203"/>
      <c r="BE9" s="203"/>
    </row>
    <row r="10" spans="2:57" ht="46.8" x14ac:dyDescent="0.3">
      <c r="B10" s="667"/>
      <c r="C10" s="669"/>
      <c r="D10" s="90" t="s">
        <v>398</v>
      </c>
      <c r="E10" s="91" t="s">
        <v>399</v>
      </c>
      <c r="F10" s="93" t="s">
        <v>397</v>
      </c>
      <c r="G10" s="203"/>
      <c r="H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row>
    <row r="11" spans="2:57" ht="46.8" x14ac:dyDescent="0.3">
      <c r="B11" s="667"/>
      <c r="C11" s="669" t="s">
        <v>249</v>
      </c>
      <c r="D11" s="90" t="s">
        <v>400</v>
      </c>
      <c r="E11" s="91" t="s">
        <v>401</v>
      </c>
      <c r="F11" s="93" t="s">
        <v>397</v>
      </c>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c r="AN11" s="203"/>
      <c r="AO11" s="203"/>
      <c r="AP11" s="203"/>
      <c r="AQ11" s="203"/>
      <c r="AR11" s="203"/>
      <c r="AS11" s="203"/>
      <c r="AT11" s="203"/>
      <c r="AU11" s="203"/>
      <c r="AV11" s="203"/>
      <c r="AW11" s="203"/>
      <c r="AX11" s="203"/>
      <c r="AY11" s="203"/>
      <c r="AZ11" s="203"/>
      <c r="BA11" s="203"/>
      <c r="BB11" s="203"/>
      <c r="BC11" s="203"/>
      <c r="BD11" s="203"/>
      <c r="BE11" s="203"/>
    </row>
    <row r="12" spans="2:57" ht="46.8" x14ac:dyDescent="0.3">
      <c r="B12" s="667"/>
      <c r="C12" s="669"/>
      <c r="D12" s="90" t="s">
        <v>402</v>
      </c>
      <c r="E12" s="91" t="s">
        <v>403</v>
      </c>
      <c r="F12" s="93" t="s">
        <v>397</v>
      </c>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row>
    <row r="13" spans="2:57" ht="31.2" x14ac:dyDescent="0.3">
      <c r="B13" s="667"/>
      <c r="C13" s="669" t="s">
        <v>250</v>
      </c>
      <c r="D13" s="90" t="s">
        <v>404</v>
      </c>
      <c r="E13" s="91" t="s">
        <v>405</v>
      </c>
      <c r="F13" s="93" t="s">
        <v>397</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c r="AM13" s="203"/>
      <c r="AN13" s="203"/>
      <c r="AO13" s="203"/>
      <c r="AP13" s="203"/>
      <c r="AQ13" s="203"/>
      <c r="AR13" s="203"/>
      <c r="AS13" s="203"/>
      <c r="AT13" s="203"/>
      <c r="AU13" s="203"/>
      <c r="AV13" s="203"/>
      <c r="AW13" s="203"/>
      <c r="AX13" s="203"/>
      <c r="AY13" s="203"/>
      <c r="AZ13" s="203"/>
      <c r="BA13" s="203"/>
      <c r="BB13" s="203"/>
      <c r="BC13" s="203"/>
      <c r="BD13" s="203"/>
      <c r="BE13" s="203"/>
    </row>
    <row r="14" spans="2:57" ht="16.2" thickBot="1" x14ac:dyDescent="0.35">
      <c r="B14" s="670"/>
      <c r="C14" s="671"/>
      <c r="D14" s="94" t="s">
        <v>406</v>
      </c>
      <c r="E14" s="95" t="s">
        <v>407</v>
      </c>
      <c r="F14" s="96" t="s">
        <v>397</v>
      </c>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row>
    <row r="15" spans="2:57" ht="49.5" customHeight="1" x14ac:dyDescent="0.3">
      <c r="B15" s="663" t="s">
        <v>408</v>
      </c>
      <c r="C15" s="663"/>
      <c r="D15" s="663"/>
      <c r="E15" s="663"/>
      <c r="F15" s="66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row>
    <row r="16" spans="2:57" ht="27" customHeight="1" x14ac:dyDescent="0.3">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AT32"/>
  <sheetViews>
    <sheetView showGridLines="0" topLeftCell="B1" workbookViewId="0">
      <selection activeCell="L31" sqref="L31"/>
    </sheetView>
  </sheetViews>
  <sheetFormatPr baseColWidth="10" defaultColWidth="11.44140625" defaultRowHeight="14.4" x14ac:dyDescent="0.3"/>
  <cols>
    <col min="2" max="2" width="12.5546875" bestFit="1" customWidth="1"/>
    <col min="3" max="3" width="10.44140625" customWidth="1"/>
    <col min="5" max="5" width="15.33203125" bestFit="1" customWidth="1"/>
    <col min="6" max="6" width="15.33203125" customWidth="1"/>
    <col min="8" max="8" width="12.33203125" bestFit="1" customWidth="1"/>
    <col min="9" max="9" width="8.109375" bestFit="1" customWidth="1"/>
    <col min="10" max="10" width="11" bestFit="1" customWidth="1"/>
    <col min="11" max="11" width="13" bestFit="1" customWidth="1"/>
    <col min="13" max="13" width="21.44140625" bestFit="1" customWidth="1"/>
    <col min="15" max="15" width="70" bestFit="1" customWidth="1"/>
    <col min="17" max="17" width="21" bestFit="1" customWidth="1"/>
    <col min="19" max="19" width="24.33203125" bestFit="1" customWidth="1"/>
    <col min="21" max="21" width="18.109375" bestFit="1" customWidth="1"/>
    <col min="24" max="24" width="14.5546875" customWidth="1"/>
    <col min="26" max="26" width="31.6640625" customWidth="1"/>
    <col min="28" max="28" width="20" bestFit="1" customWidth="1"/>
    <col min="29" max="29" width="17.5546875" customWidth="1"/>
    <col min="32" max="32" width="17.5546875" customWidth="1"/>
    <col min="33" max="33" width="16.6640625" customWidth="1"/>
    <col min="35" max="35" width="15.5546875" customWidth="1"/>
    <col min="36" max="36" width="13.44140625" customWidth="1"/>
    <col min="37" max="37" width="15.33203125" customWidth="1"/>
    <col min="44" max="44" width="12.5546875" bestFit="1" customWidth="1"/>
    <col min="46" max="46" width="54" customWidth="1"/>
  </cols>
  <sheetData>
    <row r="3" spans="2:46" x14ac:dyDescent="0.3">
      <c r="B3" s="674" t="s">
        <v>315</v>
      </c>
      <c r="C3" s="674"/>
      <c r="E3" s="675" t="s">
        <v>19</v>
      </c>
      <c r="F3" s="675"/>
      <c r="H3" s="676" t="s">
        <v>409</v>
      </c>
      <c r="I3" s="676"/>
      <c r="J3" s="676"/>
      <c r="K3" s="676"/>
      <c r="W3" s="677" t="s">
        <v>410</v>
      </c>
      <c r="X3" s="677"/>
      <c r="AB3" s="678" t="s">
        <v>411</v>
      </c>
      <c r="AC3" s="678"/>
      <c r="AD3" s="678"/>
      <c r="AF3" s="679" t="s">
        <v>412</v>
      </c>
      <c r="AG3" s="680"/>
      <c r="AH3" s="680"/>
      <c r="AI3" s="680"/>
      <c r="AJ3" s="680"/>
      <c r="AK3" s="680"/>
      <c r="AL3" s="681"/>
      <c r="AN3" s="672" t="s">
        <v>413</v>
      </c>
      <c r="AO3" s="672"/>
      <c r="AQ3" s="673" t="s">
        <v>241</v>
      </c>
      <c r="AR3" s="673"/>
    </row>
    <row r="4" spans="2:46" ht="39" customHeight="1" x14ac:dyDescent="0.3">
      <c r="B4" s="176" t="s">
        <v>281</v>
      </c>
      <c r="C4" s="176" t="s">
        <v>414</v>
      </c>
      <c r="E4" s="177" t="s">
        <v>281</v>
      </c>
      <c r="F4" s="177" t="s">
        <v>414</v>
      </c>
      <c r="H4" s="178" t="s">
        <v>315</v>
      </c>
      <c r="I4" s="178" t="s">
        <v>19</v>
      </c>
      <c r="J4" s="178" t="s">
        <v>415</v>
      </c>
      <c r="K4" s="178" t="s">
        <v>416</v>
      </c>
      <c r="M4" s="179" t="s">
        <v>417</v>
      </c>
      <c r="O4" s="180" t="s">
        <v>11</v>
      </c>
      <c r="Q4" s="181" t="s">
        <v>418</v>
      </c>
      <c r="S4" s="182" t="s">
        <v>419</v>
      </c>
      <c r="U4" s="183" t="s">
        <v>420</v>
      </c>
      <c r="W4" s="184" t="s">
        <v>421</v>
      </c>
      <c r="X4" s="184" t="s">
        <v>422</v>
      </c>
      <c r="Z4" s="185" t="s">
        <v>423</v>
      </c>
      <c r="AB4" s="186" t="s">
        <v>424</v>
      </c>
      <c r="AC4" s="186" t="s">
        <v>425</v>
      </c>
      <c r="AD4" s="186" t="s">
        <v>426</v>
      </c>
      <c r="AF4" s="178" t="s">
        <v>295</v>
      </c>
      <c r="AG4" s="178" t="s">
        <v>296</v>
      </c>
      <c r="AH4" s="178" t="s">
        <v>297</v>
      </c>
      <c r="AI4" s="178" t="s">
        <v>298</v>
      </c>
      <c r="AJ4" s="178" t="s">
        <v>299</v>
      </c>
      <c r="AK4" s="178" t="s">
        <v>300</v>
      </c>
      <c r="AL4" s="178" t="s">
        <v>301</v>
      </c>
      <c r="AM4" s="187"/>
      <c r="AN4" s="188" t="s">
        <v>427</v>
      </c>
      <c r="AO4" s="188" t="s">
        <v>426</v>
      </c>
      <c r="AQ4" s="189" t="s">
        <v>414</v>
      </c>
      <c r="AR4" s="189" t="s">
        <v>281</v>
      </c>
      <c r="AT4" s="183" t="s">
        <v>428</v>
      </c>
    </row>
    <row r="5" spans="2:46" x14ac:dyDescent="0.3">
      <c r="B5" s="190" t="s">
        <v>429</v>
      </c>
      <c r="C5" s="191">
        <v>1</v>
      </c>
      <c r="E5" s="192" t="s">
        <v>430</v>
      </c>
      <c r="F5" s="191">
        <v>1</v>
      </c>
      <c r="H5" s="187">
        <v>1</v>
      </c>
      <c r="I5" s="187">
        <v>1</v>
      </c>
      <c r="J5" s="187" t="s">
        <v>431</v>
      </c>
      <c r="K5" s="187" t="s">
        <v>432</v>
      </c>
      <c r="M5" s="187" t="s">
        <v>433</v>
      </c>
      <c r="O5" s="187" t="s">
        <v>434</v>
      </c>
      <c r="Q5" s="187" t="s">
        <v>384</v>
      </c>
      <c r="S5" s="187" t="s">
        <v>435</v>
      </c>
      <c r="U5" s="187" t="s">
        <v>436</v>
      </c>
      <c r="W5" s="187">
        <v>1</v>
      </c>
      <c r="X5" s="193" t="s">
        <v>437</v>
      </c>
      <c r="Z5" s="187" t="s">
        <v>438</v>
      </c>
      <c r="AB5" s="194" t="s">
        <v>439</v>
      </c>
      <c r="AC5" s="194" t="s">
        <v>438</v>
      </c>
      <c r="AD5" s="187">
        <v>100</v>
      </c>
      <c r="AF5" s="187" t="s">
        <v>440</v>
      </c>
      <c r="AG5" s="187" t="s">
        <v>441</v>
      </c>
      <c r="AH5" s="187" t="s">
        <v>442</v>
      </c>
      <c r="AI5" s="187" t="s">
        <v>443</v>
      </c>
      <c r="AJ5" s="187" t="s">
        <v>444</v>
      </c>
      <c r="AK5" s="187" t="s">
        <v>445</v>
      </c>
      <c r="AL5" s="187" t="s">
        <v>446</v>
      </c>
      <c r="AN5" s="187" t="s">
        <v>440</v>
      </c>
      <c r="AO5" s="187">
        <v>15</v>
      </c>
      <c r="AQ5" s="191">
        <v>1</v>
      </c>
      <c r="AR5" s="190" t="s">
        <v>429</v>
      </c>
      <c r="AT5" s="187" t="s">
        <v>447</v>
      </c>
    </row>
    <row r="6" spans="2:46" x14ac:dyDescent="0.3">
      <c r="B6" s="190" t="s">
        <v>448</v>
      </c>
      <c r="C6" s="191">
        <v>2</v>
      </c>
      <c r="E6" s="192" t="s">
        <v>449</v>
      </c>
      <c r="F6" s="191">
        <v>2</v>
      </c>
      <c r="H6" s="187">
        <v>1</v>
      </c>
      <c r="I6" s="187">
        <v>2</v>
      </c>
      <c r="J6" s="187" t="s">
        <v>450</v>
      </c>
      <c r="K6" s="187" t="s">
        <v>432</v>
      </c>
      <c r="M6" s="187" t="s">
        <v>451</v>
      </c>
      <c r="O6" s="187" t="s">
        <v>452</v>
      </c>
      <c r="Q6" s="187" t="s">
        <v>386</v>
      </c>
      <c r="S6" s="187" t="s">
        <v>313</v>
      </c>
      <c r="U6" s="187" t="s">
        <v>453</v>
      </c>
      <c r="W6" s="187">
        <v>2</v>
      </c>
      <c r="X6" s="193" t="s">
        <v>437</v>
      </c>
      <c r="Z6" s="187" t="s">
        <v>321</v>
      </c>
      <c r="AB6" s="187" t="s">
        <v>454</v>
      </c>
      <c r="AC6" s="187" t="s">
        <v>321</v>
      </c>
      <c r="AD6" s="187">
        <v>50</v>
      </c>
      <c r="AF6" s="187" t="s">
        <v>455</v>
      </c>
      <c r="AG6" s="187" t="s">
        <v>456</v>
      </c>
      <c r="AH6" s="187" t="s">
        <v>457</v>
      </c>
      <c r="AI6" s="187" t="s">
        <v>458</v>
      </c>
      <c r="AJ6" s="187" t="s">
        <v>459</v>
      </c>
      <c r="AK6" s="187" t="s">
        <v>460</v>
      </c>
      <c r="AL6" s="187" t="s">
        <v>461</v>
      </c>
      <c r="AN6" s="187" t="s">
        <v>455</v>
      </c>
      <c r="AO6" s="187">
        <v>0</v>
      </c>
      <c r="AQ6" s="191">
        <v>2</v>
      </c>
      <c r="AR6" s="190" t="s">
        <v>448</v>
      </c>
      <c r="AT6" s="187" t="s">
        <v>462</v>
      </c>
    </row>
    <row r="7" spans="2:46" x14ac:dyDescent="0.3">
      <c r="B7" s="190" t="s">
        <v>463</v>
      </c>
      <c r="C7" s="191">
        <v>3</v>
      </c>
      <c r="E7" s="192" t="s">
        <v>437</v>
      </c>
      <c r="F7" s="191">
        <v>3</v>
      </c>
      <c r="H7" s="187">
        <v>1</v>
      </c>
      <c r="I7" s="187">
        <v>3</v>
      </c>
      <c r="J7" s="187" t="s">
        <v>464</v>
      </c>
      <c r="K7" s="187" t="s">
        <v>437</v>
      </c>
      <c r="M7" s="187" t="s">
        <v>465</v>
      </c>
      <c r="O7" s="187" t="s">
        <v>466</v>
      </c>
      <c r="S7" s="187" t="s">
        <v>467</v>
      </c>
      <c r="U7" s="187" t="s">
        <v>468</v>
      </c>
      <c r="W7" s="187">
        <v>3</v>
      </c>
      <c r="X7" s="193" t="s">
        <v>437</v>
      </c>
      <c r="Z7" s="187" t="s">
        <v>469</v>
      </c>
      <c r="AB7" s="187" t="s">
        <v>470</v>
      </c>
      <c r="AC7" s="187" t="s">
        <v>469</v>
      </c>
      <c r="AD7" s="187">
        <v>0</v>
      </c>
      <c r="AI7" s="187" t="s">
        <v>471</v>
      </c>
      <c r="AL7" s="187" t="s">
        <v>472</v>
      </c>
      <c r="AN7" s="187" t="s">
        <v>441</v>
      </c>
      <c r="AO7" s="187">
        <v>15</v>
      </c>
      <c r="AQ7" s="191">
        <v>3</v>
      </c>
      <c r="AR7" s="190" t="s">
        <v>463</v>
      </c>
      <c r="AT7" s="187" t="s">
        <v>473</v>
      </c>
    </row>
    <row r="8" spans="2:46" x14ac:dyDescent="0.3">
      <c r="B8" s="190" t="s">
        <v>474</v>
      </c>
      <c r="C8" s="191">
        <v>4</v>
      </c>
      <c r="E8" s="193" t="s">
        <v>475</v>
      </c>
      <c r="F8" s="191">
        <v>4</v>
      </c>
      <c r="H8" s="187">
        <v>1</v>
      </c>
      <c r="I8" s="187">
        <v>4</v>
      </c>
      <c r="J8" s="187" t="s">
        <v>476</v>
      </c>
      <c r="K8" s="187" t="s">
        <v>477</v>
      </c>
      <c r="M8" s="187" t="s">
        <v>478</v>
      </c>
      <c r="O8" s="187" t="s">
        <v>479</v>
      </c>
      <c r="W8" s="187">
        <v>4</v>
      </c>
      <c r="X8" s="193" t="s">
        <v>437</v>
      </c>
      <c r="AB8" s="187" t="s">
        <v>480</v>
      </c>
      <c r="AC8" s="187" t="s">
        <v>321</v>
      </c>
      <c r="AD8" s="187">
        <v>50</v>
      </c>
      <c r="AN8" s="187" t="s">
        <v>456</v>
      </c>
      <c r="AO8" s="187">
        <v>0</v>
      </c>
      <c r="AQ8" s="191">
        <v>4</v>
      </c>
      <c r="AR8" s="190" t="s">
        <v>474</v>
      </c>
      <c r="AT8" s="187" t="s">
        <v>481</v>
      </c>
    </row>
    <row r="9" spans="2:46" x14ac:dyDescent="0.3">
      <c r="B9" s="190" t="s">
        <v>482</v>
      </c>
      <c r="C9" s="191">
        <v>5</v>
      </c>
      <c r="E9" s="192" t="s">
        <v>483</v>
      </c>
      <c r="F9" s="191">
        <v>5</v>
      </c>
      <c r="H9" s="187">
        <v>1</v>
      </c>
      <c r="I9" s="187">
        <v>5</v>
      </c>
      <c r="J9" s="187" t="s">
        <v>484</v>
      </c>
      <c r="K9" s="187" t="s">
        <v>477</v>
      </c>
      <c r="M9" s="187" t="s">
        <v>485</v>
      </c>
      <c r="O9" s="187" t="s">
        <v>486</v>
      </c>
      <c r="W9" s="187">
        <v>5</v>
      </c>
      <c r="X9" s="193" t="s">
        <v>437</v>
      </c>
      <c r="AB9" s="187" t="s">
        <v>487</v>
      </c>
      <c r="AC9" s="187" t="s">
        <v>321</v>
      </c>
      <c r="AD9" s="187">
        <v>50</v>
      </c>
      <c r="AN9" s="187" t="s">
        <v>442</v>
      </c>
      <c r="AO9" s="187">
        <v>15</v>
      </c>
      <c r="AQ9" s="191">
        <v>5</v>
      </c>
      <c r="AR9" s="190" t="s">
        <v>482</v>
      </c>
      <c r="AT9" s="187" t="s">
        <v>488</v>
      </c>
    </row>
    <row r="10" spans="2:46" x14ac:dyDescent="0.3">
      <c r="H10" s="187">
        <v>2</v>
      </c>
      <c r="I10" s="187">
        <v>1</v>
      </c>
      <c r="J10" s="187" t="s">
        <v>489</v>
      </c>
      <c r="K10" s="187" t="s">
        <v>432</v>
      </c>
      <c r="M10" s="187" t="s">
        <v>490</v>
      </c>
      <c r="O10" s="187" t="s">
        <v>491</v>
      </c>
      <c r="W10" s="187">
        <v>6</v>
      </c>
      <c r="X10" s="193" t="s">
        <v>475</v>
      </c>
      <c r="AB10" s="187" t="s">
        <v>492</v>
      </c>
      <c r="AC10" s="187" t="s">
        <v>469</v>
      </c>
      <c r="AD10" s="187">
        <v>0</v>
      </c>
      <c r="AN10" s="187" t="s">
        <v>457</v>
      </c>
      <c r="AO10" s="187">
        <v>0</v>
      </c>
      <c r="AT10" s="187" t="s">
        <v>493</v>
      </c>
    </row>
    <row r="11" spans="2:46" x14ac:dyDescent="0.3">
      <c r="H11" s="187">
        <v>2</v>
      </c>
      <c r="I11" s="187">
        <v>2</v>
      </c>
      <c r="J11" s="187" t="s">
        <v>494</v>
      </c>
      <c r="K11" s="187" t="s">
        <v>432</v>
      </c>
      <c r="M11" s="187" t="s">
        <v>495</v>
      </c>
      <c r="O11" s="187" t="s">
        <v>496</v>
      </c>
      <c r="W11" s="187">
        <v>7</v>
      </c>
      <c r="X11" s="193" t="s">
        <v>475</v>
      </c>
      <c r="AB11" s="187" t="s">
        <v>497</v>
      </c>
      <c r="AC11" s="187" t="s">
        <v>469</v>
      </c>
      <c r="AD11" s="187">
        <v>0</v>
      </c>
      <c r="AN11" s="187" t="s">
        <v>443</v>
      </c>
      <c r="AO11" s="187">
        <v>15</v>
      </c>
      <c r="AT11" s="187" t="s">
        <v>498</v>
      </c>
    </row>
    <row r="12" spans="2:46" x14ac:dyDescent="0.3">
      <c r="H12" s="187">
        <v>2</v>
      </c>
      <c r="I12" s="187">
        <v>3</v>
      </c>
      <c r="J12" s="187" t="s">
        <v>499</v>
      </c>
      <c r="K12" s="187" t="s">
        <v>437</v>
      </c>
      <c r="M12" s="187" t="s">
        <v>500</v>
      </c>
      <c r="O12" s="187" t="s">
        <v>501</v>
      </c>
      <c r="W12" s="187">
        <v>8</v>
      </c>
      <c r="X12" s="193" t="s">
        <v>475</v>
      </c>
      <c r="AB12" s="187" t="s">
        <v>502</v>
      </c>
      <c r="AC12" s="187" t="s">
        <v>469</v>
      </c>
      <c r="AD12" s="187">
        <v>0</v>
      </c>
      <c r="AN12" s="187" t="s">
        <v>458</v>
      </c>
      <c r="AO12" s="187">
        <v>10</v>
      </c>
      <c r="AT12" s="187" t="s">
        <v>503</v>
      </c>
    </row>
    <row r="13" spans="2:46" x14ac:dyDescent="0.3">
      <c r="H13" s="187">
        <v>2</v>
      </c>
      <c r="I13" s="187">
        <v>4</v>
      </c>
      <c r="J13" s="187" t="s">
        <v>504</v>
      </c>
      <c r="K13" s="187" t="s">
        <v>477</v>
      </c>
      <c r="M13" s="187" t="s">
        <v>505</v>
      </c>
      <c r="O13" s="187" t="s">
        <v>506</v>
      </c>
      <c r="W13" s="187">
        <v>9</v>
      </c>
      <c r="X13" s="193" t="s">
        <v>475</v>
      </c>
      <c r="AB13" s="187" t="s">
        <v>507</v>
      </c>
      <c r="AC13" s="187" t="s">
        <v>469</v>
      </c>
      <c r="AD13" s="187">
        <v>0</v>
      </c>
      <c r="AN13" s="187" t="s">
        <v>471</v>
      </c>
      <c r="AO13" s="187">
        <v>0</v>
      </c>
      <c r="AT13" s="187" t="s">
        <v>508</v>
      </c>
    </row>
    <row r="14" spans="2:46" x14ac:dyDescent="0.3">
      <c r="H14" s="187">
        <v>2</v>
      </c>
      <c r="I14" s="187">
        <v>5</v>
      </c>
      <c r="J14" s="187" t="s">
        <v>509</v>
      </c>
      <c r="K14" s="187" t="s">
        <v>510</v>
      </c>
      <c r="O14" s="187" t="s">
        <v>511</v>
      </c>
      <c r="W14" s="187">
        <v>10</v>
      </c>
      <c r="X14" s="193" t="s">
        <v>475</v>
      </c>
      <c r="AN14" s="187" t="s">
        <v>444</v>
      </c>
      <c r="AO14" s="187">
        <v>15</v>
      </c>
      <c r="AT14" s="187" t="s">
        <v>512</v>
      </c>
    </row>
    <row r="15" spans="2:46" x14ac:dyDescent="0.3">
      <c r="H15" s="187">
        <v>3</v>
      </c>
      <c r="I15" s="187">
        <v>1</v>
      </c>
      <c r="J15" s="187" t="s">
        <v>513</v>
      </c>
      <c r="K15" s="187" t="s">
        <v>432</v>
      </c>
      <c r="O15" s="187" t="s">
        <v>488</v>
      </c>
      <c r="W15" s="187">
        <v>11</v>
      </c>
      <c r="X15" s="193" t="s">
        <v>475</v>
      </c>
      <c r="AN15" s="187" t="s">
        <v>459</v>
      </c>
      <c r="AO15" s="187">
        <v>0</v>
      </c>
      <c r="AT15" s="187" t="s">
        <v>514</v>
      </c>
    </row>
    <row r="16" spans="2:46" x14ac:dyDescent="0.3">
      <c r="H16" s="187">
        <v>3</v>
      </c>
      <c r="I16" s="187">
        <v>2</v>
      </c>
      <c r="J16" s="187" t="s">
        <v>515</v>
      </c>
      <c r="K16" s="187" t="s">
        <v>437</v>
      </c>
      <c r="O16" s="187" t="s">
        <v>516</v>
      </c>
      <c r="W16" s="187">
        <v>12</v>
      </c>
      <c r="X16" s="193" t="s">
        <v>483</v>
      </c>
      <c r="AN16" s="187" t="s">
        <v>445</v>
      </c>
      <c r="AO16" s="187">
        <v>15</v>
      </c>
      <c r="AT16" s="187" t="s">
        <v>517</v>
      </c>
    </row>
    <row r="17" spans="8:46" x14ac:dyDescent="0.3">
      <c r="H17" s="187">
        <v>3</v>
      </c>
      <c r="I17" s="187">
        <v>3</v>
      </c>
      <c r="J17" s="187" t="s">
        <v>518</v>
      </c>
      <c r="K17" s="187" t="s">
        <v>477</v>
      </c>
      <c r="O17" s="187" t="s">
        <v>519</v>
      </c>
      <c r="W17" s="187">
        <v>13</v>
      </c>
      <c r="X17" s="193" t="s">
        <v>483</v>
      </c>
      <c r="AN17" s="187" t="s">
        <v>460</v>
      </c>
      <c r="AO17" s="187">
        <v>0</v>
      </c>
      <c r="AT17" s="187" t="s">
        <v>520</v>
      </c>
    </row>
    <row r="18" spans="8:46" x14ac:dyDescent="0.3">
      <c r="H18" s="187">
        <v>3</v>
      </c>
      <c r="I18" s="187">
        <v>4</v>
      </c>
      <c r="J18" s="187" t="s">
        <v>521</v>
      </c>
      <c r="K18" s="187" t="s">
        <v>510</v>
      </c>
      <c r="O18" s="187" t="s">
        <v>522</v>
      </c>
      <c r="W18" s="187">
        <v>14</v>
      </c>
      <c r="X18" s="193" t="s">
        <v>483</v>
      </c>
      <c r="AN18" s="187" t="s">
        <v>446</v>
      </c>
      <c r="AO18" s="187">
        <v>10</v>
      </c>
      <c r="AT18" s="187" t="s">
        <v>496</v>
      </c>
    </row>
    <row r="19" spans="8:46" x14ac:dyDescent="0.3">
      <c r="H19" s="187">
        <v>3</v>
      </c>
      <c r="I19" s="187">
        <v>5</v>
      </c>
      <c r="J19" s="187" t="s">
        <v>523</v>
      </c>
      <c r="K19" s="187" t="s">
        <v>510</v>
      </c>
      <c r="O19" s="187" t="s">
        <v>524</v>
      </c>
      <c r="W19" s="187">
        <v>15</v>
      </c>
      <c r="X19" s="193" t="s">
        <v>483</v>
      </c>
      <c r="AN19" s="187" t="s">
        <v>461</v>
      </c>
      <c r="AO19" s="187">
        <v>5</v>
      </c>
      <c r="AT19" s="187" t="s">
        <v>525</v>
      </c>
    </row>
    <row r="20" spans="8:46" x14ac:dyDescent="0.3">
      <c r="H20" s="187">
        <v>4</v>
      </c>
      <c r="I20" s="187">
        <v>1</v>
      </c>
      <c r="J20" s="187" t="s">
        <v>526</v>
      </c>
      <c r="K20" s="187" t="s">
        <v>437</v>
      </c>
      <c r="O20" s="187" t="s">
        <v>527</v>
      </c>
      <c r="W20" s="187">
        <v>16</v>
      </c>
      <c r="X20" s="193" t="s">
        <v>483</v>
      </c>
      <c r="AN20" s="187" t="s">
        <v>472</v>
      </c>
      <c r="AO20" s="187">
        <v>0</v>
      </c>
      <c r="AT20" s="187" t="s">
        <v>528</v>
      </c>
    </row>
    <row r="21" spans="8:46" x14ac:dyDescent="0.3">
      <c r="H21" s="187">
        <v>4</v>
      </c>
      <c r="I21" s="187">
        <v>2</v>
      </c>
      <c r="J21" s="187" t="s">
        <v>529</v>
      </c>
      <c r="K21" s="187" t="s">
        <v>477</v>
      </c>
      <c r="O21" s="187" t="s">
        <v>530</v>
      </c>
      <c r="W21" s="187">
        <v>17</v>
      </c>
      <c r="X21" s="193" t="s">
        <v>483</v>
      </c>
      <c r="AT21" s="187" t="s">
        <v>531</v>
      </c>
    </row>
    <row r="22" spans="8:46" x14ac:dyDescent="0.3">
      <c r="H22" s="187">
        <v>4</v>
      </c>
      <c r="I22" s="187">
        <v>3</v>
      </c>
      <c r="J22" s="187" t="s">
        <v>532</v>
      </c>
      <c r="K22" s="187" t="s">
        <v>477</v>
      </c>
      <c r="O22" s="187" t="s">
        <v>514</v>
      </c>
      <c r="W22" s="187">
        <v>18</v>
      </c>
      <c r="X22" s="193" t="s">
        <v>483</v>
      </c>
      <c r="AT22" s="187" t="s">
        <v>533</v>
      </c>
    </row>
    <row r="23" spans="8:46" x14ac:dyDescent="0.3">
      <c r="H23" s="187">
        <v>4</v>
      </c>
      <c r="I23" s="187">
        <v>4</v>
      </c>
      <c r="J23" s="187" t="s">
        <v>534</v>
      </c>
      <c r="K23" s="187" t="s">
        <v>510</v>
      </c>
      <c r="O23" s="187" t="s">
        <v>535</v>
      </c>
      <c r="W23" s="187">
        <v>19</v>
      </c>
      <c r="X23" s="193" t="s">
        <v>483</v>
      </c>
      <c r="AT23" s="187" t="s">
        <v>536</v>
      </c>
    </row>
    <row r="24" spans="8:46" x14ac:dyDescent="0.3">
      <c r="H24" s="187">
        <v>4</v>
      </c>
      <c r="I24" s="187">
        <v>5</v>
      </c>
      <c r="J24" s="187" t="s">
        <v>537</v>
      </c>
      <c r="K24" s="187" t="s">
        <v>510</v>
      </c>
      <c r="O24" s="187" t="s">
        <v>538</v>
      </c>
      <c r="AT24" s="187" t="s">
        <v>539</v>
      </c>
    </row>
    <row r="25" spans="8:46" x14ac:dyDescent="0.3">
      <c r="H25" s="187">
        <v>5</v>
      </c>
      <c r="I25" s="187">
        <v>1</v>
      </c>
      <c r="J25" s="187" t="s">
        <v>540</v>
      </c>
      <c r="K25" s="187" t="s">
        <v>477</v>
      </c>
      <c r="O25" s="187" t="s">
        <v>541</v>
      </c>
      <c r="AT25" s="187" t="s">
        <v>542</v>
      </c>
    </row>
    <row r="26" spans="8:46" x14ac:dyDescent="0.3">
      <c r="H26" s="187">
        <v>5</v>
      </c>
      <c r="I26" s="187">
        <v>2</v>
      </c>
      <c r="J26" s="187" t="s">
        <v>543</v>
      </c>
      <c r="K26" s="187" t="s">
        <v>477</v>
      </c>
      <c r="O26" s="187" t="s">
        <v>544</v>
      </c>
      <c r="AT26" s="187" t="s">
        <v>544</v>
      </c>
    </row>
    <row r="27" spans="8:46" x14ac:dyDescent="0.3">
      <c r="H27" s="187">
        <v>5</v>
      </c>
      <c r="I27" s="187">
        <v>3</v>
      </c>
      <c r="J27" s="187" t="s">
        <v>545</v>
      </c>
      <c r="K27" s="187" t="s">
        <v>510</v>
      </c>
      <c r="O27" s="187" t="s">
        <v>546</v>
      </c>
      <c r="AT27" s="187" t="s">
        <v>547</v>
      </c>
    </row>
    <row r="28" spans="8:46" x14ac:dyDescent="0.3">
      <c r="H28" s="187">
        <v>5</v>
      </c>
      <c r="I28" s="187">
        <v>4</v>
      </c>
      <c r="J28" s="187" t="s">
        <v>548</v>
      </c>
      <c r="K28" s="187" t="s">
        <v>510</v>
      </c>
      <c r="O28" s="187" t="s">
        <v>549</v>
      </c>
      <c r="AT28" s="187" t="s">
        <v>550</v>
      </c>
    </row>
    <row r="29" spans="8:46" x14ac:dyDescent="0.3">
      <c r="H29" s="187">
        <v>5</v>
      </c>
      <c r="I29" s="187">
        <v>5</v>
      </c>
      <c r="J29" s="187" t="s">
        <v>551</v>
      </c>
      <c r="K29" s="187" t="s">
        <v>510</v>
      </c>
      <c r="O29" s="187" t="s">
        <v>552</v>
      </c>
      <c r="AT29" s="187" t="s">
        <v>553</v>
      </c>
    </row>
    <row r="30" spans="8:46" x14ac:dyDescent="0.3">
      <c r="O30" s="187" t="s">
        <v>554</v>
      </c>
      <c r="AT30" s="187" t="s">
        <v>555</v>
      </c>
    </row>
    <row r="31" spans="8:46" x14ac:dyDescent="0.3">
      <c r="O31" s="187" t="s">
        <v>556</v>
      </c>
      <c r="AT31" s="187" t="s">
        <v>452</v>
      </c>
    </row>
    <row r="32" spans="8:46" x14ac:dyDescent="0.3">
      <c r="O32" s="187" t="s">
        <v>557</v>
      </c>
    </row>
  </sheetData>
  <mergeCells count="8">
    <mergeCell ref="AN3:AO3"/>
    <mergeCell ref="AQ3:AR3"/>
    <mergeCell ref="B3:C3"/>
    <mergeCell ref="E3:F3"/>
    <mergeCell ref="H3:K3"/>
    <mergeCell ref="W3:X3"/>
    <mergeCell ref="AB3:AD3"/>
    <mergeCell ref="AF3:AL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19"/>
  <sheetViews>
    <sheetView topLeftCell="A4" workbookViewId="0">
      <selection activeCell="B13" sqref="B13:B19"/>
    </sheetView>
  </sheetViews>
  <sheetFormatPr baseColWidth="10" defaultColWidth="11.44140625" defaultRowHeight="14.4" x14ac:dyDescent="0.3"/>
  <sheetData>
    <row r="2" spans="2:5" x14ac:dyDescent="0.3">
      <c r="B2" t="s">
        <v>558</v>
      </c>
      <c r="E2" t="s">
        <v>559</v>
      </c>
    </row>
    <row r="3" spans="2:5" x14ac:dyDescent="0.3">
      <c r="B3" t="s">
        <v>560</v>
      </c>
      <c r="E3" t="s">
        <v>561</v>
      </c>
    </row>
    <row r="4" spans="2:5" x14ac:dyDescent="0.3">
      <c r="B4" t="s">
        <v>562</v>
      </c>
      <c r="E4" t="s">
        <v>563</v>
      </c>
    </row>
    <row r="5" spans="2:5" x14ac:dyDescent="0.3">
      <c r="B5" t="s">
        <v>564</v>
      </c>
    </row>
    <row r="8" spans="2:5" x14ac:dyDescent="0.3">
      <c r="B8" t="s">
        <v>565</v>
      </c>
    </row>
    <row r="9" spans="2:5" x14ac:dyDescent="0.3">
      <c r="B9" t="s">
        <v>566</v>
      </c>
    </row>
    <row r="10" spans="2:5" x14ac:dyDescent="0.3">
      <c r="B10" t="s">
        <v>567</v>
      </c>
    </row>
    <row r="13" spans="2:5" x14ac:dyDescent="0.3">
      <c r="B13" t="s">
        <v>568</v>
      </c>
    </row>
    <row r="14" spans="2:5" x14ac:dyDescent="0.3">
      <c r="B14" t="s">
        <v>569</v>
      </c>
    </row>
    <row r="15" spans="2:5" x14ac:dyDescent="0.3">
      <c r="B15" t="s">
        <v>570</v>
      </c>
    </row>
    <row r="16" spans="2:5" x14ac:dyDescent="0.3">
      <c r="B16" t="s">
        <v>571</v>
      </c>
    </row>
    <row r="17" spans="2:2" x14ac:dyDescent="0.3">
      <c r="B17" t="s">
        <v>572</v>
      </c>
    </row>
    <row r="18" spans="2:2" x14ac:dyDescent="0.3">
      <c r="B18" t="s">
        <v>573</v>
      </c>
    </row>
    <row r="19" spans="2:2" x14ac:dyDescent="0.3">
      <c r="B19" t="s">
        <v>574</v>
      </c>
    </row>
  </sheetData>
  <sortState xmlns:xlrd2="http://schemas.microsoft.com/office/spreadsheetml/2017/richdata2" ref="B2:B5">
    <sortCondition ref="B2:B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A21"/>
  <sheetViews>
    <sheetView workbookViewId="0">
      <selection activeCell="E24" sqref="E24"/>
    </sheetView>
  </sheetViews>
  <sheetFormatPr baseColWidth="10" defaultColWidth="11.44140625" defaultRowHeight="13.8" x14ac:dyDescent="0.3"/>
  <cols>
    <col min="1" max="1" width="32.88671875" style="9" customWidth="1"/>
    <col min="2" max="16384" width="11.44140625" style="9"/>
  </cols>
  <sheetData>
    <row r="3" spans="1:1" x14ac:dyDescent="0.3">
      <c r="A3" s="10" t="s">
        <v>384</v>
      </c>
    </row>
    <row r="4" spans="1:1" x14ac:dyDescent="0.3">
      <c r="A4" s="10" t="s">
        <v>386</v>
      </c>
    </row>
    <row r="5" spans="1:1" x14ac:dyDescent="0.3">
      <c r="A5" s="10" t="s">
        <v>388</v>
      </c>
    </row>
    <row r="6" spans="1:1" x14ac:dyDescent="0.3">
      <c r="A6" s="10" t="s">
        <v>390</v>
      </c>
    </row>
    <row r="7" spans="1:1" x14ac:dyDescent="0.3">
      <c r="A7" s="10" t="s">
        <v>392</v>
      </c>
    </row>
    <row r="8" spans="1:1" x14ac:dyDescent="0.3">
      <c r="A8" s="10" t="s">
        <v>395</v>
      </c>
    </row>
    <row r="9" spans="1:1" x14ac:dyDescent="0.3">
      <c r="A9" s="10" t="s">
        <v>398</v>
      </c>
    </row>
    <row r="10" spans="1:1" x14ac:dyDescent="0.3">
      <c r="A10" s="10" t="s">
        <v>400</v>
      </c>
    </row>
    <row r="11" spans="1:1" x14ac:dyDescent="0.3">
      <c r="A11" s="10" t="s">
        <v>402</v>
      </c>
    </row>
    <row r="12" spans="1:1" x14ac:dyDescent="0.3">
      <c r="A12" s="10" t="s">
        <v>575</v>
      </c>
    </row>
    <row r="13" spans="1:1" x14ac:dyDescent="0.3">
      <c r="A13" s="10" t="s">
        <v>576</v>
      </c>
    </row>
    <row r="14" spans="1:1" x14ac:dyDescent="0.3">
      <c r="A14" s="10" t="s">
        <v>577</v>
      </c>
    </row>
    <row r="16" spans="1:1" x14ac:dyDescent="0.3">
      <c r="A16" s="10" t="s">
        <v>435</v>
      </c>
    </row>
    <row r="17" spans="1:1" x14ac:dyDescent="0.3">
      <c r="A17" s="10" t="s">
        <v>558</v>
      </c>
    </row>
    <row r="18" spans="1:1" x14ac:dyDescent="0.3">
      <c r="A18" s="10" t="s">
        <v>560</v>
      </c>
    </row>
    <row r="20" spans="1:1" x14ac:dyDescent="0.3">
      <c r="A20" s="10" t="s">
        <v>566</v>
      </c>
    </row>
    <row r="21" spans="1:1" x14ac:dyDescent="0.3">
      <c r="A21" s="10" t="s">
        <v>567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3"/>
  <sheetViews>
    <sheetView showGridLines="0" topLeftCell="D21" workbookViewId="0">
      <selection activeCell="J11" sqref="J11"/>
    </sheetView>
  </sheetViews>
  <sheetFormatPr baseColWidth="10" defaultColWidth="11.44140625" defaultRowHeight="14.4" x14ac:dyDescent="0.3"/>
  <cols>
    <col min="2" max="2" width="44.44140625" customWidth="1"/>
    <col min="4" max="4" width="45.6640625" customWidth="1"/>
    <col min="6" max="6" width="46.109375" customWidth="1"/>
    <col min="8" max="8" width="45.44140625" customWidth="1"/>
    <col min="9" max="9" width="14.5546875" customWidth="1"/>
    <col min="10" max="10" width="45.88671875" customWidth="1"/>
  </cols>
  <sheetData>
    <row r="1" spans="1:19" s="83" customFormat="1" ht="30" customHeight="1" x14ac:dyDescent="0.3">
      <c r="A1" s="364" t="s">
        <v>0</v>
      </c>
      <c r="B1" s="365"/>
      <c r="C1" s="365"/>
      <c r="D1" s="365"/>
      <c r="E1" s="365"/>
      <c r="F1" s="365"/>
      <c r="G1" s="365"/>
      <c r="H1" s="366"/>
      <c r="I1" s="353" t="s">
        <v>1</v>
      </c>
      <c r="J1" s="353"/>
      <c r="K1"/>
      <c r="L1"/>
      <c r="M1"/>
      <c r="N1"/>
      <c r="O1"/>
      <c r="P1"/>
      <c r="Q1"/>
      <c r="R1"/>
      <c r="S1"/>
    </row>
    <row r="2" spans="1:19" s="83" customFormat="1" ht="30" customHeight="1" x14ac:dyDescent="0.3">
      <c r="A2" s="367"/>
      <c r="B2" s="368"/>
      <c r="C2" s="368"/>
      <c r="D2" s="368"/>
      <c r="E2" s="368"/>
      <c r="F2" s="368"/>
      <c r="G2" s="368"/>
      <c r="H2" s="369"/>
      <c r="I2" s="322" t="s">
        <v>2</v>
      </c>
      <c r="J2" s="322"/>
      <c r="K2"/>
      <c r="L2"/>
      <c r="M2"/>
      <c r="N2"/>
      <c r="O2"/>
      <c r="P2"/>
      <c r="Q2"/>
      <c r="R2"/>
      <c r="S2"/>
    </row>
    <row r="3" spans="1:19" s="83" customFormat="1" ht="30" customHeight="1" x14ac:dyDescent="0.3">
      <c r="A3" s="370"/>
      <c r="B3" s="371"/>
      <c r="C3" s="371"/>
      <c r="D3" s="371"/>
      <c r="E3" s="371"/>
      <c r="F3" s="371"/>
      <c r="G3" s="371"/>
      <c r="H3" s="372"/>
      <c r="I3" s="362" t="s">
        <v>59</v>
      </c>
      <c r="J3" s="363"/>
      <c r="K3"/>
      <c r="L3"/>
      <c r="M3"/>
      <c r="N3"/>
      <c r="O3"/>
      <c r="P3"/>
      <c r="Q3"/>
      <c r="R3"/>
      <c r="S3"/>
    </row>
    <row r="4" spans="1:19" ht="22.8" x14ac:dyDescent="0.4">
      <c r="A4" s="354" t="s">
        <v>60</v>
      </c>
      <c r="B4" s="354"/>
      <c r="C4" s="354"/>
      <c r="D4" s="354"/>
      <c r="E4" s="354"/>
      <c r="F4" s="354"/>
      <c r="G4" s="354"/>
      <c r="H4" s="354"/>
      <c r="I4" s="354"/>
      <c r="J4" s="354"/>
    </row>
    <row r="5" spans="1:19" ht="23.4" thickBot="1" x14ac:dyDescent="0.45">
      <c r="A5" s="348" t="s">
        <v>61</v>
      </c>
      <c r="B5" s="348"/>
      <c r="C5" s="348"/>
      <c r="D5" s="348"/>
      <c r="E5" s="348"/>
      <c r="F5" s="348"/>
      <c r="G5" s="348"/>
      <c r="H5" s="348"/>
      <c r="I5" s="250"/>
      <c r="J5" s="250"/>
    </row>
    <row r="6" spans="1:19" ht="24.75" customHeight="1" thickBot="1" x14ac:dyDescent="0.35">
      <c r="A6" s="355" t="s">
        <v>62</v>
      </c>
      <c r="B6" s="356"/>
      <c r="C6" s="357"/>
      <c r="D6" s="358"/>
      <c r="E6" s="359" t="s">
        <v>63</v>
      </c>
      <c r="F6" s="357"/>
      <c r="G6" s="357"/>
      <c r="H6" s="358"/>
      <c r="I6" s="359" t="s">
        <v>64</v>
      </c>
      <c r="J6" s="358"/>
    </row>
    <row r="7" spans="1:19" ht="48" customHeight="1" thickBot="1" x14ac:dyDescent="0.35">
      <c r="A7" s="360" t="s">
        <v>65</v>
      </c>
      <c r="B7" s="361"/>
      <c r="C7" s="349" t="s">
        <v>66</v>
      </c>
      <c r="D7" s="350"/>
      <c r="E7" s="349" t="s">
        <v>67</v>
      </c>
      <c r="F7" s="350"/>
      <c r="G7" s="349" t="s">
        <v>68</v>
      </c>
      <c r="H7" s="350"/>
      <c r="I7" s="351" t="s">
        <v>69</v>
      </c>
      <c r="J7" s="352"/>
    </row>
    <row r="8" spans="1:19" ht="110.4" x14ac:dyDescent="0.3">
      <c r="A8" s="256" t="s">
        <v>70</v>
      </c>
      <c r="B8" s="259" t="s">
        <v>71</v>
      </c>
      <c r="C8" s="267" t="s">
        <v>70</v>
      </c>
      <c r="D8" s="272" t="s">
        <v>71</v>
      </c>
      <c r="E8" s="267" t="s">
        <v>70</v>
      </c>
      <c r="F8" s="272" t="s">
        <v>72</v>
      </c>
      <c r="G8" s="267" t="s">
        <v>70</v>
      </c>
      <c r="H8" s="272" t="s">
        <v>72</v>
      </c>
      <c r="I8" s="267" t="s">
        <v>70</v>
      </c>
      <c r="J8" s="284" t="s">
        <v>73</v>
      </c>
    </row>
    <row r="9" spans="1:19" ht="57.6" x14ac:dyDescent="0.3">
      <c r="A9" s="212"/>
      <c r="B9" s="260" t="s">
        <v>74</v>
      </c>
      <c r="C9" s="213"/>
      <c r="D9" s="255" t="s">
        <v>74</v>
      </c>
      <c r="E9" s="213"/>
      <c r="F9" s="273" t="s">
        <v>75</v>
      </c>
      <c r="G9" s="213"/>
      <c r="H9" s="273" t="s">
        <v>75</v>
      </c>
      <c r="I9" s="285" t="s">
        <v>76</v>
      </c>
      <c r="J9" s="286" t="s">
        <v>77</v>
      </c>
    </row>
    <row r="10" spans="1:19" ht="43.2" x14ac:dyDescent="0.3">
      <c r="A10" s="253">
        <v>1</v>
      </c>
      <c r="B10" s="261" t="s">
        <v>78</v>
      </c>
      <c r="C10" s="213"/>
      <c r="D10" s="273"/>
      <c r="E10" s="213">
        <v>1</v>
      </c>
      <c r="F10" s="278" t="s">
        <v>79</v>
      </c>
      <c r="G10" s="213">
        <v>1</v>
      </c>
      <c r="H10" s="279" t="s">
        <v>80</v>
      </c>
      <c r="I10" s="285" t="s">
        <v>81</v>
      </c>
      <c r="J10" s="286" t="s">
        <v>82</v>
      </c>
    </row>
    <row r="11" spans="1:19" ht="43.2" x14ac:dyDescent="0.3">
      <c r="A11" s="253"/>
      <c r="B11" s="261"/>
      <c r="C11" s="213"/>
      <c r="D11" s="273"/>
      <c r="E11" s="213">
        <v>2</v>
      </c>
      <c r="F11" s="274" t="s">
        <v>83</v>
      </c>
      <c r="G11" s="213"/>
      <c r="H11" s="273"/>
      <c r="I11" s="285" t="s">
        <v>84</v>
      </c>
      <c r="J11" s="286" t="s">
        <v>85</v>
      </c>
    </row>
    <row r="12" spans="1:19" ht="43.2" x14ac:dyDescent="0.3">
      <c r="A12" s="253"/>
      <c r="B12" s="262" t="s">
        <v>86</v>
      </c>
      <c r="C12" s="213"/>
      <c r="D12" s="255" t="s">
        <v>86</v>
      </c>
      <c r="E12" s="213"/>
      <c r="F12" s="273" t="s">
        <v>87</v>
      </c>
      <c r="G12" s="213"/>
      <c r="H12" s="273" t="s">
        <v>87</v>
      </c>
      <c r="I12" s="287" t="s">
        <v>88</v>
      </c>
      <c r="J12" s="288" t="s">
        <v>89</v>
      </c>
    </row>
    <row r="13" spans="1:19" ht="43.2" x14ac:dyDescent="0.3">
      <c r="A13" s="253"/>
      <c r="B13" s="263"/>
      <c r="C13" s="213">
        <v>1</v>
      </c>
      <c r="D13" s="274" t="s">
        <v>90</v>
      </c>
      <c r="E13" s="213"/>
      <c r="F13" s="273"/>
      <c r="G13" s="213"/>
      <c r="H13" s="273"/>
      <c r="I13" s="287" t="s">
        <v>91</v>
      </c>
      <c r="J13" s="288" t="s">
        <v>92</v>
      </c>
    </row>
    <row r="14" spans="1:19" ht="28.8" x14ac:dyDescent="0.3">
      <c r="A14" s="253"/>
      <c r="B14" s="264" t="s">
        <v>93</v>
      </c>
      <c r="C14" s="213"/>
      <c r="D14" s="273" t="s">
        <v>93</v>
      </c>
      <c r="E14" s="213"/>
      <c r="F14" s="273" t="s">
        <v>94</v>
      </c>
      <c r="G14" s="213"/>
      <c r="H14" s="273" t="s">
        <v>94</v>
      </c>
      <c r="I14" s="287" t="s">
        <v>95</v>
      </c>
      <c r="J14" s="288" t="s">
        <v>96</v>
      </c>
    </row>
    <row r="15" spans="1:19" ht="28.8" x14ac:dyDescent="0.3">
      <c r="A15" s="253">
        <v>2</v>
      </c>
      <c r="B15" s="261" t="s">
        <v>97</v>
      </c>
      <c r="C15" s="213">
        <v>2</v>
      </c>
      <c r="D15" s="275" t="s">
        <v>98</v>
      </c>
      <c r="E15" s="213">
        <v>3</v>
      </c>
      <c r="F15" s="255" t="s">
        <v>99</v>
      </c>
      <c r="G15" s="213">
        <v>2</v>
      </c>
      <c r="H15" s="279" t="s">
        <v>100</v>
      </c>
      <c r="I15" s="287" t="s">
        <v>101</v>
      </c>
      <c r="J15" s="288" t="s">
        <v>102</v>
      </c>
    </row>
    <row r="16" spans="1:19" ht="43.2" x14ac:dyDescent="0.3">
      <c r="A16" s="253">
        <v>3</v>
      </c>
      <c r="B16" s="261" t="s">
        <v>103</v>
      </c>
      <c r="C16" s="213"/>
      <c r="D16" s="273"/>
      <c r="E16" s="213">
        <v>4</v>
      </c>
      <c r="F16" s="274" t="s">
        <v>104</v>
      </c>
      <c r="G16" s="213">
        <v>3</v>
      </c>
      <c r="H16" s="279" t="s">
        <v>105</v>
      </c>
      <c r="I16" s="287" t="s">
        <v>106</v>
      </c>
      <c r="J16" s="288" t="s">
        <v>107</v>
      </c>
    </row>
    <row r="17" spans="1:10" ht="43.2" x14ac:dyDescent="0.3">
      <c r="A17" s="253">
        <v>4</v>
      </c>
      <c r="B17" s="262" t="s">
        <v>108</v>
      </c>
      <c r="C17" s="213"/>
      <c r="D17" s="273"/>
      <c r="E17" s="213">
        <v>5</v>
      </c>
      <c r="F17" s="274" t="s">
        <v>109</v>
      </c>
      <c r="G17" s="213">
        <v>4</v>
      </c>
      <c r="H17" s="279" t="s">
        <v>110</v>
      </c>
      <c r="I17" s="287" t="s">
        <v>111</v>
      </c>
      <c r="J17" s="288" t="s">
        <v>112</v>
      </c>
    </row>
    <row r="18" spans="1:10" ht="57.6" x14ac:dyDescent="0.3">
      <c r="A18" s="253"/>
      <c r="B18" s="262"/>
      <c r="C18" s="213"/>
      <c r="D18" s="273"/>
      <c r="E18" s="213">
        <v>6</v>
      </c>
      <c r="F18" s="274" t="s">
        <v>113</v>
      </c>
      <c r="G18" s="213">
        <v>5</v>
      </c>
      <c r="H18" s="279" t="s">
        <v>114</v>
      </c>
      <c r="I18" s="287" t="s">
        <v>115</v>
      </c>
      <c r="J18" s="289" t="s">
        <v>116</v>
      </c>
    </row>
    <row r="19" spans="1:10" ht="57.6" x14ac:dyDescent="0.3">
      <c r="A19" s="253"/>
      <c r="B19" s="262"/>
      <c r="C19" s="213"/>
      <c r="D19" s="273"/>
      <c r="E19" s="213">
        <v>7</v>
      </c>
      <c r="F19" s="279" t="s">
        <v>117</v>
      </c>
      <c r="G19" s="213"/>
      <c r="H19" s="255"/>
      <c r="I19" s="287" t="s">
        <v>118</v>
      </c>
      <c r="J19" s="289" t="s">
        <v>119</v>
      </c>
    </row>
    <row r="20" spans="1:10" ht="43.2" x14ac:dyDescent="0.3">
      <c r="A20" s="253"/>
      <c r="B20" s="262" t="s">
        <v>120</v>
      </c>
      <c r="C20" s="213"/>
      <c r="D20" s="255" t="s">
        <v>120</v>
      </c>
      <c r="E20" s="213"/>
      <c r="F20" s="255" t="s">
        <v>121</v>
      </c>
      <c r="G20" s="213"/>
      <c r="H20" s="255" t="s">
        <v>121</v>
      </c>
      <c r="I20" s="287" t="s">
        <v>122</v>
      </c>
      <c r="J20" s="289" t="s">
        <v>123</v>
      </c>
    </row>
    <row r="21" spans="1:10" ht="43.2" x14ac:dyDescent="0.3">
      <c r="A21" s="253"/>
      <c r="B21" s="262"/>
      <c r="C21" s="213"/>
      <c r="D21" s="255"/>
      <c r="E21" s="213"/>
      <c r="F21" s="273"/>
      <c r="G21" s="213">
        <v>6</v>
      </c>
      <c r="H21" s="255" t="s">
        <v>124</v>
      </c>
      <c r="I21" s="287" t="s">
        <v>125</v>
      </c>
      <c r="J21" s="289" t="s">
        <v>126</v>
      </c>
    </row>
    <row r="22" spans="1:10" ht="43.2" x14ac:dyDescent="0.3">
      <c r="A22" s="253"/>
      <c r="B22" s="262"/>
      <c r="C22" s="213"/>
      <c r="D22" s="255"/>
      <c r="E22" s="213"/>
      <c r="F22" s="273"/>
      <c r="G22" s="213">
        <v>7</v>
      </c>
      <c r="H22" s="279" t="s">
        <v>127</v>
      </c>
      <c r="I22" s="287" t="s">
        <v>128</v>
      </c>
      <c r="J22" s="289" t="s">
        <v>129</v>
      </c>
    </row>
    <row r="23" spans="1:10" ht="57.6" x14ac:dyDescent="0.3">
      <c r="A23" s="253"/>
      <c r="B23" s="262"/>
      <c r="C23" s="213"/>
      <c r="D23" s="255"/>
      <c r="E23" s="213"/>
      <c r="F23" s="273"/>
      <c r="G23" s="213">
        <v>8</v>
      </c>
      <c r="H23" s="279" t="s">
        <v>130</v>
      </c>
      <c r="I23" s="287" t="s">
        <v>131</v>
      </c>
      <c r="J23" s="289" t="s">
        <v>132</v>
      </c>
    </row>
    <row r="24" spans="1:10" ht="57.6" x14ac:dyDescent="0.3">
      <c r="A24" s="253"/>
      <c r="B24" s="262"/>
      <c r="C24" s="213"/>
      <c r="D24" s="255"/>
      <c r="E24" s="213"/>
      <c r="F24" s="273"/>
      <c r="G24" s="213">
        <v>9</v>
      </c>
      <c r="H24" s="279" t="s">
        <v>133</v>
      </c>
      <c r="I24" s="290" t="s">
        <v>134</v>
      </c>
      <c r="J24" s="291" t="s">
        <v>135</v>
      </c>
    </row>
    <row r="25" spans="1:10" ht="57.6" x14ac:dyDescent="0.3">
      <c r="A25" s="253"/>
      <c r="B25" s="262" t="s">
        <v>136</v>
      </c>
      <c r="C25" s="213"/>
      <c r="D25" s="255" t="s">
        <v>136</v>
      </c>
      <c r="E25" s="213"/>
      <c r="F25" s="255" t="s">
        <v>137</v>
      </c>
      <c r="G25" s="213"/>
      <c r="H25" s="255" t="s">
        <v>137</v>
      </c>
      <c r="I25" s="292" t="s">
        <v>138</v>
      </c>
      <c r="J25" s="291" t="s">
        <v>139</v>
      </c>
    </row>
    <row r="26" spans="1:10" ht="57.6" x14ac:dyDescent="0.3">
      <c r="A26" s="253">
        <v>5</v>
      </c>
      <c r="B26" s="262" t="s">
        <v>140</v>
      </c>
      <c r="C26" s="213">
        <v>3</v>
      </c>
      <c r="D26" s="275" t="s">
        <v>141</v>
      </c>
      <c r="E26" s="213">
        <v>8</v>
      </c>
      <c r="F26" s="255" t="s">
        <v>142</v>
      </c>
      <c r="G26" s="213">
        <v>10</v>
      </c>
      <c r="H26" s="279" t="s">
        <v>143</v>
      </c>
      <c r="I26" s="293" t="s">
        <v>144</v>
      </c>
      <c r="J26" s="294" t="s">
        <v>145</v>
      </c>
    </row>
    <row r="27" spans="1:10" ht="115.2" x14ac:dyDescent="0.3">
      <c r="A27" s="253">
        <v>6</v>
      </c>
      <c r="B27" s="261" t="s">
        <v>146</v>
      </c>
      <c r="C27" s="213">
        <v>4</v>
      </c>
      <c r="D27" s="274" t="s">
        <v>147</v>
      </c>
      <c r="E27" s="213"/>
      <c r="F27" s="276"/>
      <c r="G27" s="213">
        <v>11</v>
      </c>
      <c r="H27" s="279" t="s">
        <v>148</v>
      </c>
      <c r="I27" s="295" t="s">
        <v>149</v>
      </c>
      <c r="J27" s="294" t="s">
        <v>150</v>
      </c>
    </row>
    <row r="28" spans="1:10" ht="43.2" x14ac:dyDescent="0.3">
      <c r="A28" s="253">
        <v>7</v>
      </c>
      <c r="B28" s="261" t="s">
        <v>151</v>
      </c>
      <c r="C28" s="213">
        <v>5</v>
      </c>
      <c r="D28" s="274" t="s">
        <v>152</v>
      </c>
      <c r="E28" s="213"/>
      <c r="F28" s="255"/>
      <c r="G28" s="213"/>
      <c r="H28" s="255"/>
      <c r="I28" s="295" t="s">
        <v>153</v>
      </c>
      <c r="J28" s="296" t="s">
        <v>154</v>
      </c>
    </row>
    <row r="29" spans="1:10" ht="43.2" x14ac:dyDescent="0.3">
      <c r="A29" s="253">
        <v>8</v>
      </c>
      <c r="B29" s="261" t="s">
        <v>155</v>
      </c>
      <c r="C29" s="213"/>
      <c r="D29" s="273"/>
      <c r="E29" s="213"/>
      <c r="F29" s="255"/>
      <c r="G29" s="213"/>
      <c r="H29" s="255"/>
      <c r="I29" s="297"/>
      <c r="J29" s="298"/>
    </row>
    <row r="30" spans="1:10" ht="28.8" x14ac:dyDescent="0.3">
      <c r="A30" s="253">
        <v>9</v>
      </c>
      <c r="B30" s="261" t="s">
        <v>156</v>
      </c>
      <c r="C30" s="213"/>
      <c r="D30" s="273"/>
      <c r="E30" s="213"/>
      <c r="F30" s="255"/>
      <c r="G30" s="213"/>
      <c r="H30" s="255"/>
      <c r="I30" s="297"/>
      <c r="J30" s="298"/>
    </row>
    <row r="31" spans="1:10" x14ac:dyDescent="0.3">
      <c r="A31" s="253"/>
      <c r="B31" s="262" t="s">
        <v>157</v>
      </c>
      <c r="C31" s="213"/>
      <c r="D31" s="255" t="s">
        <v>157</v>
      </c>
      <c r="E31" s="213"/>
      <c r="F31" s="273" t="s">
        <v>158</v>
      </c>
      <c r="G31" s="213"/>
      <c r="H31" s="273" t="s">
        <v>158</v>
      </c>
      <c r="I31" s="297"/>
      <c r="J31" s="298"/>
    </row>
    <row r="32" spans="1:10" ht="28.8" x14ac:dyDescent="0.3">
      <c r="A32" s="253">
        <v>10</v>
      </c>
      <c r="B32" s="262" t="s">
        <v>159</v>
      </c>
      <c r="C32" s="213"/>
      <c r="D32" s="255"/>
      <c r="E32" s="213">
        <v>9</v>
      </c>
      <c r="F32" s="274" t="s">
        <v>160</v>
      </c>
      <c r="G32" s="213">
        <v>12</v>
      </c>
      <c r="H32" s="279" t="s">
        <v>161</v>
      </c>
      <c r="I32" s="269"/>
      <c r="J32" s="268"/>
    </row>
    <row r="33" spans="1:10" ht="43.2" x14ac:dyDescent="0.3">
      <c r="A33" s="253">
        <v>11</v>
      </c>
      <c r="B33" s="261" t="s">
        <v>162</v>
      </c>
      <c r="C33" s="213"/>
      <c r="D33" s="276"/>
      <c r="E33" s="212">
        <v>10</v>
      </c>
      <c r="F33" s="278" t="s">
        <v>163</v>
      </c>
      <c r="G33" s="280">
        <v>13</v>
      </c>
      <c r="H33" s="279" t="s">
        <v>164</v>
      </c>
      <c r="I33" s="269"/>
      <c r="J33" s="268"/>
    </row>
    <row r="34" spans="1:10" ht="28.8" x14ac:dyDescent="0.3">
      <c r="A34" s="254">
        <v>12</v>
      </c>
      <c r="B34" s="265" t="s">
        <v>165</v>
      </c>
      <c r="C34" s="213"/>
      <c r="D34" s="276"/>
      <c r="E34" s="212">
        <v>11</v>
      </c>
      <c r="F34" s="274" t="s">
        <v>166</v>
      </c>
      <c r="G34" s="280"/>
      <c r="H34" s="255" t="s">
        <v>157</v>
      </c>
      <c r="I34" s="269"/>
      <c r="J34" s="268"/>
    </row>
    <row r="35" spans="1:10" ht="28.8" x14ac:dyDescent="0.3">
      <c r="A35" s="257">
        <v>13</v>
      </c>
      <c r="B35" s="265" t="s">
        <v>167</v>
      </c>
      <c r="C35" s="269"/>
      <c r="D35" s="276"/>
      <c r="E35" s="269"/>
      <c r="F35" s="276"/>
      <c r="G35" s="281">
        <v>14</v>
      </c>
      <c r="H35" s="279" t="s">
        <v>168</v>
      </c>
      <c r="I35" s="269"/>
      <c r="J35" s="268"/>
    </row>
    <row r="36" spans="1:10" ht="29.4" thickBot="1" x14ac:dyDescent="0.35">
      <c r="A36" s="258"/>
      <c r="B36" s="266"/>
      <c r="C36" s="270"/>
      <c r="D36" s="277"/>
      <c r="E36" s="270"/>
      <c r="F36" s="277"/>
      <c r="G36" s="282">
        <v>15</v>
      </c>
      <c r="H36" s="283" t="s">
        <v>169</v>
      </c>
      <c r="I36" s="270"/>
      <c r="J36" s="271"/>
    </row>
    <row r="37" spans="1:10" x14ac:dyDescent="0.3">
      <c r="F37" s="251"/>
      <c r="H37" s="252"/>
    </row>
    <row r="38" spans="1:10" x14ac:dyDescent="0.3">
      <c r="F38" s="251"/>
    </row>
    <row r="39" spans="1:10" x14ac:dyDescent="0.3">
      <c r="H39" s="252"/>
    </row>
    <row r="40" spans="1:10" x14ac:dyDescent="0.3">
      <c r="B40" s="251"/>
    </row>
    <row r="42" spans="1:10" x14ac:dyDescent="0.3">
      <c r="F42" s="251"/>
      <c r="H42" s="252"/>
    </row>
    <row r="43" spans="1:10" x14ac:dyDescent="0.3">
      <c r="F43" s="251"/>
    </row>
    <row r="44" spans="1:10" x14ac:dyDescent="0.3">
      <c r="F44" s="251"/>
    </row>
    <row r="46" spans="1:10" x14ac:dyDescent="0.3">
      <c r="B46" s="251"/>
    </row>
    <row r="53" spans="8:8" x14ac:dyDescent="0.3">
      <c r="H53" s="252"/>
    </row>
  </sheetData>
  <protectedRanges>
    <protectedRange sqref="I2:I3" name="Rango2_2_1"/>
  </protectedRanges>
  <mergeCells count="14">
    <mergeCell ref="A5:H5"/>
    <mergeCell ref="G7:H7"/>
    <mergeCell ref="I7:J7"/>
    <mergeCell ref="I1:J1"/>
    <mergeCell ref="I2:J2"/>
    <mergeCell ref="A4:J4"/>
    <mergeCell ref="A6:D6"/>
    <mergeCell ref="E6:H6"/>
    <mergeCell ref="I6:J6"/>
    <mergeCell ref="E7:F7"/>
    <mergeCell ref="C7:D7"/>
    <mergeCell ref="A7:B7"/>
    <mergeCell ref="I3:J3"/>
    <mergeCell ref="A1:H3"/>
  </mergeCells>
  <conditionalFormatting sqref="I9:J9 J10:J17 I26:J27 I18:J23">
    <cfRule type="containsText" dxfId="354" priority="18" operator="containsText" text="SÍ">
      <formula>NOT(ISERROR(SEARCH("SÍ",I9)))</formula>
    </cfRule>
  </conditionalFormatting>
  <conditionalFormatting sqref="I10:I11 I28">
    <cfRule type="containsText" dxfId="353" priority="13" operator="containsText" text="SÍ">
      <formula>NOT(ISERROR(SEARCH("SÍ",I10)))</formula>
    </cfRule>
  </conditionalFormatting>
  <conditionalFormatting sqref="I12">
    <cfRule type="containsText" dxfId="352" priority="12" operator="containsText" text="SÍ">
      <formula>NOT(ISERROR(SEARCH("SÍ",I12)))</formula>
    </cfRule>
  </conditionalFormatting>
  <conditionalFormatting sqref="I13:I17">
    <cfRule type="containsText" dxfId="351" priority="10" operator="containsText" text="SÍ">
      <formula>NOT(ISERROR(SEARCH("SÍ",I13)))</formula>
    </cfRule>
  </conditionalFormatting>
  <pageMargins left="0.7" right="0.7" top="0.75" bottom="0.75" header="0.3" footer="0.3"/>
  <pageSetup orientation="portrait" horizontalDpi="4294967295" verticalDpi="4294967295"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tabSelected="1" topLeftCell="A3" workbookViewId="0">
      <selection activeCell="C12" sqref="C12"/>
    </sheetView>
  </sheetViews>
  <sheetFormatPr baseColWidth="10" defaultColWidth="11.44140625" defaultRowHeight="14.4" x14ac:dyDescent="0.3"/>
  <cols>
    <col min="1" max="1" width="4.109375" customWidth="1"/>
    <col min="2" max="2" width="13.6640625" customWidth="1"/>
    <col min="3" max="3" width="62.5546875" customWidth="1"/>
    <col min="4" max="4" width="8.6640625" customWidth="1"/>
    <col min="5" max="5" width="11.5546875" customWidth="1"/>
    <col min="6" max="6" width="11.44140625" customWidth="1"/>
    <col min="7" max="8" width="10.5546875" customWidth="1"/>
    <col min="9" max="9" width="11.109375" customWidth="1"/>
    <col min="10" max="10" width="12.44140625" customWidth="1"/>
    <col min="11" max="11" width="12.109375" customWidth="1"/>
    <col min="12" max="12" width="42.109375" customWidth="1"/>
  </cols>
  <sheetData>
    <row r="1" spans="1:15" ht="30" customHeight="1" x14ac:dyDescent="0.3">
      <c r="A1" s="373" t="s">
        <v>0</v>
      </c>
      <c r="B1" s="373"/>
      <c r="C1" s="373"/>
      <c r="D1" s="373"/>
      <c r="E1" s="373"/>
      <c r="F1" s="373"/>
      <c r="G1" s="373"/>
      <c r="H1" s="373"/>
      <c r="I1" s="373"/>
      <c r="J1" s="373"/>
      <c r="K1" s="373"/>
      <c r="L1" s="226" t="s">
        <v>1</v>
      </c>
      <c r="N1" t="s">
        <v>170</v>
      </c>
    </row>
    <row r="2" spans="1:15" ht="30" customHeight="1" x14ac:dyDescent="0.3">
      <c r="A2" s="373"/>
      <c r="B2" s="373"/>
      <c r="C2" s="373"/>
      <c r="D2" s="373"/>
      <c r="E2" s="373"/>
      <c r="F2" s="373"/>
      <c r="G2" s="373"/>
      <c r="H2" s="373"/>
      <c r="I2" s="373"/>
      <c r="J2" s="373"/>
      <c r="K2" s="373"/>
      <c r="L2" s="227" t="s">
        <v>2</v>
      </c>
      <c r="N2">
        <v>1</v>
      </c>
      <c r="O2" t="s">
        <v>171</v>
      </c>
    </row>
    <row r="3" spans="1:15" ht="30" customHeight="1" x14ac:dyDescent="0.3">
      <c r="A3" s="373"/>
      <c r="B3" s="373"/>
      <c r="C3" s="373"/>
      <c r="D3" s="373"/>
      <c r="E3" s="373"/>
      <c r="F3" s="373"/>
      <c r="G3" s="373"/>
      <c r="H3" s="373"/>
      <c r="I3" s="373"/>
      <c r="J3" s="373"/>
      <c r="K3" s="373"/>
      <c r="L3" s="228" t="s">
        <v>3</v>
      </c>
      <c r="N3">
        <v>2</v>
      </c>
      <c r="O3" t="s">
        <v>172</v>
      </c>
    </row>
    <row r="4" spans="1:15" ht="30" customHeight="1" x14ac:dyDescent="0.3">
      <c r="A4" s="374" t="s">
        <v>173</v>
      </c>
      <c r="B4" s="374"/>
      <c r="C4" s="374"/>
      <c r="D4" s="374"/>
      <c r="E4" s="374"/>
      <c r="F4" s="374"/>
      <c r="G4" s="374"/>
      <c r="H4" s="374"/>
      <c r="I4" s="374"/>
      <c r="J4" s="374"/>
      <c r="K4" s="374"/>
      <c r="L4" s="375"/>
    </row>
    <row r="5" spans="1:15" ht="15.6" x14ac:dyDescent="0.3">
      <c r="A5" s="377" t="s">
        <v>174</v>
      </c>
      <c r="B5" s="229"/>
      <c r="C5" s="377" t="s">
        <v>175</v>
      </c>
      <c r="D5" s="230"/>
      <c r="E5" s="380" t="s">
        <v>176</v>
      </c>
      <c r="F5" s="381"/>
      <c r="G5" s="381"/>
      <c r="H5" s="381"/>
      <c r="I5" s="381"/>
      <c r="J5" s="381"/>
      <c r="K5" s="382"/>
      <c r="L5" s="231"/>
      <c r="N5">
        <v>3</v>
      </c>
      <c r="O5" t="s">
        <v>177</v>
      </c>
    </row>
    <row r="6" spans="1:15" ht="46.8" x14ac:dyDescent="0.3">
      <c r="A6" s="378"/>
      <c r="B6" s="232" t="s">
        <v>178</v>
      </c>
      <c r="C6" s="378"/>
      <c r="D6" s="383" t="s">
        <v>179</v>
      </c>
      <c r="E6" s="233" t="s">
        <v>180</v>
      </c>
      <c r="F6" s="233" t="s">
        <v>181</v>
      </c>
      <c r="G6" s="233" t="s">
        <v>182</v>
      </c>
      <c r="H6" s="233" t="s">
        <v>183</v>
      </c>
      <c r="I6" s="385" t="s">
        <v>184</v>
      </c>
      <c r="J6" s="385" t="s">
        <v>185</v>
      </c>
      <c r="K6" s="385" t="s">
        <v>186</v>
      </c>
      <c r="L6" s="376" t="s">
        <v>187</v>
      </c>
    </row>
    <row r="7" spans="1:15" ht="16.2" thickBot="1" x14ac:dyDescent="0.35">
      <c r="A7" s="379"/>
      <c r="B7" s="232"/>
      <c r="C7" s="378"/>
      <c r="D7" s="384"/>
      <c r="E7" s="234">
        <v>0.3</v>
      </c>
      <c r="F7" s="234">
        <v>0.2</v>
      </c>
      <c r="G7" s="234">
        <v>0.2</v>
      </c>
      <c r="H7" s="234">
        <v>0.3</v>
      </c>
      <c r="I7" s="386"/>
      <c r="J7" s="386"/>
      <c r="K7" s="386"/>
      <c r="L7" s="376"/>
    </row>
    <row r="8" spans="1:15" s="219" customFormat="1" ht="28.8" x14ac:dyDescent="0.25">
      <c r="A8" s="225">
        <v>1</v>
      </c>
      <c r="B8" s="306" t="s">
        <v>76</v>
      </c>
      <c r="C8" s="299" t="s">
        <v>188</v>
      </c>
      <c r="D8" s="236">
        <v>2</v>
      </c>
      <c r="E8" s="235">
        <v>3</v>
      </c>
      <c r="F8" s="235">
        <v>3</v>
      </c>
      <c r="G8" s="235">
        <v>3</v>
      </c>
      <c r="H8" s="235">
        <v>2</v>
      </c>
      <c r="I8" s="235">
        <f t="shared" ref="I8:I20" si="0">SUM(E8:H8)</f>
        <v>11</v>
      </c>
      <c r="J8" s="237">
        <f>ROUND((E8*$E$7)+(F8*$F$7)+(G8*$G$7)+(H8*$H$7),1)</f>
        <v>2.7</v>
      </c>
      <c r="K8" s="235" t="str">
        <f>IF(OR(D8=1,J8&gt;2.4),"SÍ","NO")</f>
        <v>SÍ</v>
      </c>
      <c r="L8" s="218" t="s">
        <v>189</v>
      </c>
    </row>
    <row r="9" spans="1:15" s="219" customFormat="1" ht="28.8" x14ac:dyDescent="0.25">
      <c r="A9" s="225">
        <f t="shared" ref="A9:A20" si="1">A8+1</f>
        <v>2</v>
      </c>
      <c r="B9" s="307" t="s">
        <v>81</v>
      </c>
      <c r="C9" s="300" t="s">
        <v>190</v>
      </c>
      <c r="D9" s="236">
        <v>1</v>
      </c>
      <c r="E9" s="235">
        <v>3</v>
      </c>
      <c r="F9" s="235">
        <v>3</v>
      </c>
      <c r="G9" s="235">
        <v>3</v>
      </c>
      <c r="H9" s="235">
        <v>1</v>
      </c>
      <c r="I9" s="235">
        <v>10</v>
      </c>
      <c r="J9" s="237">
        <f t="shared" ref="J9:J37" si="2">ROUND((E9*$E$7)+(F9*$F$7)+(G9*$G$7)+(H9*$H$7),1)</f>
        <v>2.4</v>
      </c>
      <c r="K9" s="235" t="str">
        <f t="shared" ref="K9:K37" si="3">IF(OR(D9=1,J9&gt;2.4),"SÍ","NO")</f>
        <v>SÍ</v>
      </c>
      <c r="L9" s="218" t="s">
        <v>191</v>
      </c>
    </row>
    <row r="10" spans="1:15" s="219" customFormat="1" ht="28.8" x14ac:dyDescent="0.25">
      <c r="A10" s="225">
        <f t="shared" si="1"/>
        <v>3</v>
      </c>
      <c r="B10" s="307" t="s">
        <v>84</v>
      </c>
      <c r="C10" s="300" t="s">
        <v>192</v>
      </c>
      <c r="D10" s="236">
        <v>1</v>
      </c>
      <c r="E10" s="235">
        <v>3</v>
      </c>
      <c r="F10" s="235">
        <v>3</v>
      </c>
      <c r="G10" s="235">
        <v>2</v>
      </c>
      <c r="H10" s="235">
        <v>2</v>
      </c>
      <c r="I10" s="235">
        <v>10</v>
      </c>
      <c r="J10" s="237">
        <f t="shared" ref="J10:J13" si="4">ROUND((E10*$E$7)+(F10*$F$7)+(G10*$G$7)+(H10*$H$7),1)</f>
        <v>2.5</v>
      </c>
      <c r="K10" s="235" t="str">
        <f t="shared" ref="K10:K13" si="5">IF(OR(D10=1,J10&gt;2.4),"SÍ","NO")</f>
        <v>SÍ</v>
      </c>
      <c r="L10" s="218" t="s">
        <v>193</v>
      </c>
    </row>
    <row r="11" spans="1:15" s="219" customFormat="1" ht="28.8" x14ac:dyDescent="0.25">
      <c r="A11" s="225">
        <f t="shared" si="1"/>
        <v>4</v>
      </c>
      <c r="B11" s="308" t="s">
        <v>88</v>
      </c>
      <c r="C11" s="302" t="s">
        <v>194</v>
      </c>
      <c r="D11" s="236">
        <v>1</v>
      </c>
      <c r="E11" s="235">
        <v>3</v>
      </c>
      <c r="F11" s="235">
        <v>3</v>
      </c>
      <c r="G11" s="235">
        <v>3</v>
      </c>
      <c r="H11" s="235">
        <v>1</v>
      </c>
      <c r="I11" s="235">
        <v>10</v>
      </c>
      <c r="J11" s="237">
        <f t="shared" si="4"/>
        <v>2.4</v>
      </c>
      <c r="K11" s="235" t="str">
        <f t="shared" si="5"/>
        <v>SÍ</v>
      </c>
      <c r="L11" s="218" t="s">
        <v>195</v>
      </c>
    </row>
    <row r="12" spans="1:15" s="219" customFormat="1" ht="28.8" x14ac:dyDescent="0.25">
      <c r="A12" s="225">
        <f t="shared" si="1"/>
        <v>5</v>
      </c>
      <c r="B12" s="308" t="s">
        <v>91</v>
      </c>
      <c r="C12" s="302" t="s">
        <v>196</v>
      </c>
      <c r="D12" s="236">
        <v>3</v>
      </c>
      <c r="E12" s="235">
        <v>3</v>
      </c>
      <c r="F12" s="235">
        <v>2</v>
      </c>
      <c r="G12" s="235">
        <v>3</v>
      </c>
      <c r="H12" s="235">
        <v>1</v>
      </c>
      <c r="I12" s="235">
        <v>9</v>
      </c>
      <c r="J12" s="237">
        <f t="shared" si="4"/>
        <v>2.2000000000000002</v>
      </c>
      <c r="K12" s="235" t="str">
        <f t="shared" si="5"/>
        <v>NO</v>
      </c>
      <c r="L12" s="218" t="s">
        <v>197</v>
      </c>
    </row>
    <row r="13" spans="1:15" s="219" customFormat="1" ht="48.75" customHeight="1" x14ac:dyDescent="0.25">
      <c r="A13" s="225">
        <f t="shared" si="1"/>
        <v>6</v>
      </c>
      <c r="B13" s="308" t="s">
        <v>95</v>
      </c>
      <c r="C13" s="302" t="s">
        <v>198</v>
      </c>
      <c r="D13" s="236">
        <v>1</v>
      </c>
      <c r="E13" s="235">
        <v>3</v>
      </c>
      <c r="F13" s="235">
        <v>3</v>
      </c>
      <c r="G13" s="235">
        <v>2</v>
      </c>
      <c r="H13" s="235">
        <v>1</v>
      </c>
      <c r="I13" s="235">
        <v>9</v>
      </c>
      <c r="J13" s="237">
        <f t="shared" si="4"/>
        <v>2.2000000000000002</v>
      </c>
      <c r="K13" s="235" t="str">
        <f t="shared" si="5"/>
        <v>SÍ</v>
      </c>
      <c r="L13" s="218" t="s">
        <v>199</v>
      </c>
    </row>
    <row r="14" spans="1:15" s="219" customFormat="1" ht="29.4" thickBot="1" x14ac:dyDescent="0.3">
      <c r="A14" s="225">
        <f t="shared" si="1"/>
        <v>7</v>
      </c>
      <c r="B14" s="308" t="s">
        <v>101</v>
      </c>
      <c r="C14" s="302" t="s">
        <v>200</v>
      </c>
      <c r="D14" s="236">
        <v>1</v>
      </c>
      <c r="E14" s="235">
        <v>3</v>
      </c>
      <c r="F14" s="235">
        <v>2</v>
      </c>
      <c r="G14" s="235">
        <v>3</v>
      </c>
      <c r="H14" s="235">
        <v>1</v>
      </c>
      <c r="I14" s="235">
        <v>9</v>
      </c>
      <c r="J14" s="237">
        <f t="shared" si="2"/>
        <v>2.2000000000000002</v>
      </c>
      <c r="K14" s="235" t="str">
        <f t="shared" si="3"/>
        <v>SÍ</v>
      </c>
      <c r="L14" s="220" t="s">
        <v>201</v>
      </c>
    </row>
    <row r="15" spans="1:15" s="219" customFormat="1" ht="29.4" thickBot="1" x14ac:dyDescent="0.3">
      <c r="A15" s="225">
        <f t="shared" si="1"/>
        <v>8</v>
      </c>
      <c r="B15" s="308" t="s">
        <v>106</v>
      </c>
      <c r="C15" s="302" t="s">
        <v>202</v>
      </c>
      <c r="D15" s="236">
        <v>2</v>
      </c>
      <c r="E15" s="235">
        <v>3</v>
      </c>
      <c r="F15" s="235">
        <v>3</v>
      </c>
      <c r="G15" s="235">
        <v>3</v>
      </c>
      <c r="H15" s="235">
        <v>3</v>
      </c>
      <c r="I15" s="235">
        <f t="shared" ref="I15:I16" si="6">SUM(E15:H15)</f>
        <v>12</v>
      </c>
      <c r="J15" s="237">
        <f t="shared" si="2"/>
        <v>3</v>
      </c>
      <c r="K15" s="235" t="str">
        <f t="shared" si="3"/>
        <v>SÍ</v>
      </c>
      <c r="L15" s="218"/>
    </row>
    <row r="16" spans="1:15" s="219" customFormat="1" ht="29.4" thickBot="1" x14ac:dyDescent="0.3">
      <c r="A16" s="225">
        <f t="shared" si="1"/>
        <v>9</v>
      </c>
      <c r="B16" s="308" t="s">
        <v>111</v>
      </c>
      <c r="C16" s="302" t="s">
        <v>203</v>
      </c>
      <c r="D16" s="236">
        <v>1</v>
      </c>
      <c r="E16" s="235">
        <v>3</v>
      </c>
      <c r="F16" s="235">
        <v>3</v>
      </c>
      <c r="G16" s="235">
        <v>3</v>
      </c>
      <c r="H16" s="235">
        <v>2</v>
      </c>
      <c r="I16" s="235">
        <f t="shared" si="6"/>
        <v>11</v>
      </c>
      <c r="J16" s="237">
        <f t="shared" si="2"/>
        <v>2.7</v>
      </c>
      <c r="K16" s="235" t="str">
        <f t="shared" si="3"/>
        <v>SÍ</v>
      </c>
      <c r="L16" s="218"/>
    </row>
    <row r="17" spans="1:12" s="219" customFormat="1" ht="28.8" x14ac:dyDescent="0.25">
      <c r="A17" s="225">
        <f t="shared" si="1"/>
        <v>10</v>
      </c>
      <c r="B17" s="308" t="s">
        <v>115</v>
      </c>
      <c r="C17" s="301" t="s">
        <v>204</v>
      </c>
      <c r="D17" s="236">
        <v>3</v>
      </c>
      <c r="E17" s="235">
        <v>3</v>
      </c>
      <c r="F17" s="235">
        <v>3</v>
      </c>
      <c r="G17" s="235">
        <v>3</v>
      </c>
      <c r="H17" s="235">
        <v>3</v>
      </c>
      <c r="I17" s="235">
        <f t="shared" si="0"/>
        <v>12</v>
      </c>
      <c r="J17" s="237">
        <f t="shared" si="2"/>
        <v>3</v>
      </c>
      <c r="K17" s="235" t="str">
        <f t="shared" si="3"/>
        <v>SÍ</v>
      </c>
      <c r="L17" s="218" t="s">
        <v>205</v>
      </c>
    </row>
    <row r="18" spans="1:12" s="219" customFormat="1" ht="43.2" x14ac:dyDescent="0.25">
      <c r="A18" s="225">
        <f t="shared" si="1"/>
        <v>11</v>
      </c>
      <c r="B18" s="308" t="s">
        <v>118</v>
      </c>
      <c r="C18" s="301" t="s">
        <v>206</v>
      </c>
      <c r="D18" s="236">
        <v>2</v>
      </c>
      <c r="E18" s="235">
        <v>3</v>
      </c>
      <c r="F18" s="235">
        <v>3</v>
      </c>
      <c r="G18" s="235">
        <v>3</v>
      </c>
      <c r="H18" s="235">
        <v>3</v>
      </c>
      <c r="I18" s="235">
        <f t="shared" si="0"/>
        <v>12</v>
      </c>
      <c r="J18" s="237">
        <f t="shared" si="2"/>
        <v>3</v>
      </c>
      <c r="K18" s="235" t="str">
        <f t="shared" si="3"/>
        <v>SÍ</v>
      </c>
      <c r="L18" s="218" t="s">
        <v>207</v>
      </c>
    </row>
    <row r="19" spans="1:12" s="219" customFormat="1" ht="28.8" x14ac:dyDescent="0.25">
      <c r="A19" s="225">
        <f t="shared" si="1"/>
        <v>12</v>
      </c>
      <c r="B19" s="308" t="s">
        <v>122</v>
      </c>
      <c r="C19" s="301" t="s">
        <v>208</v>
      </c>
      <c r="D19" s="236">
        <v>2</v>
      </c>
      <c r="E19" s="235">
        <v>3</v>
      </c>
      <c r="F19" s="235">
        <v>3</v>
      </c>
      <c r="G19" s="235">
        <v>2</v>
      </c>
      <c r="H19" s="235">
        <v>1</v>
      </c>
      <c r="I19" s="235">
        <f t="shared" si="0"/>
        <v>9</v>
      </c>
      <c r="J19" s="237">
        <f t="shared" si="2"/>
        <v>2.2000000000000002</v>
      </c>
      <c r="K19" s="235" t="str">
        <f t="shared" si="3"/>
        <v>NO</v>
      </c>
      <c r="L19" s="218" t="s">
        <v>209</v>
      </c>
    </row>
    <row r="20" spans="1:12" s="219" customFormat="1" ht="28.8" x14ac:dyDescent="0.25">
      <c r="A20" s="214">
        <f t="shared" si="1"/>
        <v>13</v>
      </c>
      <c r="B20" s="308" t="s">
        <v>125</v>
      </c>
      <c r="C20" s="301" t="s">
        <v>210</v>
      </c>
      <c r="D20" s="236">
        <v>1</v>
      </c>
      <c r="E20" s="235">
        <v>3</v>
      </c>
      <c r="F20" s="235">
        <v>3</v>
      </c>
      <c r="G20" s="235">
        <v>3</v>
      </c>
      <c r="H20" s="235">
        <v>1</v>
      </c>
      <c r="I20" s="216">
        <f t="shared" si="0"/>
        <v>10</v>
      </c>
      <c r="J20" s="217">
        <f t="shared" si="2"/>
        <v>2.4</v>
      </c>
      <c r="K20" s="216" t="str">
        <f t="shared" si="3"/>
        <v>SÍ</v>
      </c>
      <c r="L20" s="220" t="s">
        <v>211</v>
      </c>
    </row>
    <row r="21" spans="1:12" s="219" customFormat="1" ht="28.8" x14ac:dyDescent="0.25">
      <c r="A21" s="214">
        <f t="shared" ref="A21:A37" si="7">A20+1</f>
        <v>14</v>
      </c>
      <c r="B21" s="308" t="s">
        <v>128</v>
      </c>
      <c r="C21" s="301" t="s">
        <v>212</v>
      </c>
      <c r="D21" s="236">
        <v>2</v>
      </c>
      <c r="E21" s="235">
        <v>3</v>
      </c>
      <c r="F21" s="235">
        <v>3</v>
      </c>
      <c r="G21" s="235">
        <v>2</v>
      </c>
      <c r="H21" s="235">
        <v>1</v>
      </c>
      <c r="I21" s="235">
        <f t="shared" ref="I21" si="8">SUM(E21:H21)</f>
        <v>9</v>
      </c>
      <c r="J21" s="217">
        <f t="shared" si="2"/>
        <v>2.2000000000000002</v>
      </c>
      <c r="K21" s="216" t="str">
        <f t="shared" si="3"/>
        <v>NO</v>
      </c>
      <c r="L21" s="218" t="s">
        <v>209</v>
      </c>
    </row>
    <row r="22" spans="1:12" s="219" customFormat="1" ht="43.2" x14ac:dyDescent="0.25">
      <c r="A22" s="214">
        <f t="shared" si="7"/>
        <v>15</v>
      </c>
      <c r="B22" s="308" t="s">
        <v>131</v>
      </c>
      <c r="C22" s="301" t="s">
        <v>213</v>
      </c>
      <c r="D22" s="236">
        <v>2</v>
      </c>
      <c r="E22" s="235">
        <v>3</v>
      </c>
      <c r="F22" s="235">
        <v>3</v>
      </c>
      <c r="G22" s="235">
        <v>3</v>
      </c>
      <c r="H22" s="235">
        <v>1</v>
      </c>
      <c r="I22" s="216">
        <f t="shared" ref="I22:I37" si="9">SUM(E22:H22)</f>
        <v>10</v>
      </c>
      <c r="J22" s="217">
        <f t="shared" si="2"/>
        <v>2.4</v>
      </c>
      <c r="K22" s="216" t="str">
        <f t="shared" si="3"/>
        <v>NO</v>
      </c>
      <c r="L22" s="218" t="s">
        <v>214</v>
      </c>
    </row>
    <row r="23" spans="1:12" s="219" customFormat="1" ht="43.2" x14ac:dyDescent="0.25">
      <c r="A23" s="214">
        <f t="shared" si="7"/>
        <v>16</v>
      </c>
      <c r="B23" s="309" t="s">
        <v>134</v>
      </c>
      <c r="C23" s="303" t="s">
        <v>215</v>
      </c>
      <c r="D23" s="236">
        <v>2</v>
      </c>
      <c r="E23" s="235">
        <v>3</v>
      </c>
      <c r="F23" s="235">
        <v>3</v>
      </c>
      <c r="G23" s="235">
        <v>3</v>
      </c>
      <c r="H23" s="235">
        <v>1</v>
      </c>
      <c r="I23" s="216">
        <f t="shared" si="9"/>
        <v>10</v>
      </c>
      <c r="J23" s="217">
        <f t="shared" si="2"/>
        <v>2.4</v>
      </c>
      <c r="K23" s="216" t="str">
        <f t="shared" si="3"/>
        <v>NO</v>
      </c>
      <c r="L23" s="220" t="s">
        <v>216</v>
      </c>
    </row>
    <row r="24" spans="1:12" s="219" customFormat="1" ht="43.2" x14ac:dyDescent="0.25">
      <c r="A24" s="214">
        <f t="shared" si="7"/>
        <v>17</v>
      </c>
      <c r="B24" s="309" t="s">
        <v>138</v>
      </c>
      <c r="C24" s="303" t="s">
        <v>217</v>
      </c>
      <c r="D24" s="236">
        <v>2</v>
      </c>
      <c r="E24" s="235">
        <v>3</v>
      </c>
      <c r="F24" s="235">
        <v>3</v>
      </c>
      <c r="G24" s="235">
        <v>3</v>
      </c>
      <c r="H24" s="235">
        <v>1</v>
      </c>
      <c r="I24" s="216">
        <f t="shared" si="9"/>
        <v>10</v>
      </c>
      <c r="J24" s="217">
        <f t="shared" si="2"/>
        <v>2.4</v>
      </c>
      <c r="K24" s="216" t="str">
        <f t="shared" si="3"/>
        <v>NO</v>
      </c>
      <c r="L24" s="220" t="s">
        <v>216</v>
      </c>
    </row>
    <row r="25" spans="1:12" s="219" customFormat="1" ht="43.2" x14ac:dyDescent="0.25">
      <c r="A25" s="214">
        <f t="shared" si="7"/>
        <v>18</v>
      </c>
      <c r="B25" s="310" t="s">
        <v>144</v>
      </c>
      <c r="C25" s="304" t="s">
        <v>218</v>
      </c>
      <c r="D25" s="236">
        <v>2</v>
      </c>
      <c r="E25" s="235">
        <v>3</v>
      </c>
      <c r="F25" s="235">
        <v>3</v>
      </c>
      <c r="G25" s="235">
        <v>2</v>
      </c>
      <c r="H25" s="235">
        <v>1</v>
      </c>
      <c r="I25" s="216">
        <f t="shared" si="9"/>
        <v>9</v>
      </c>
      <c r="J25" s="217">
        <f t="shared" si="2"/>
        <v>2.2000000000000002</v>
      </c>
      <c r="K25" s="216" t="str">
        <f t="shared" si="3"/>
        <v>NO</v>
      </c>
      <c r="L25" s="220"/>
    </row>
    <row r="26" spans="1:12" s="219" customFormat="1" ht="43.2" x14ac:dyDescent="0.25">
      <c r="A26" s="214">
        <f t="shared" si="7"/>
        <v>19</v>
      </c>
      <c r="B26" s="311" t="s">
        <v>149</v>
      </c>
      <c r="C26" s="304" t="s">
        <v>219</v>
      </c>
      <c r="D26" s="236">
        <v>1</v>
      </c>
      <c r="E26" s="235">
        <v>3</v>
      </c>
      <c r="F26" s="235">
        <v>3</v>
      </c>
      <c r="G26" s="235">
        <v>3</v>
      </c>
      <c r="H26" s="235">
        <v>1</v>
      </c>
      <c r="I26" s="216">
        <f t="shared" si="9"/>
        <v>10</v>
      </c>
      <c r="J26" s="217">
        <f t="shared" si="2"/>
        <v>2.4</v>
      </c>
      <c r="K26" s="216" t="str">
        <f t="shared" si="3"/>
        <v>SÍ</v>
      </c>
      <c r="L26" s="220"/>
    </row>
    <row r="27" spans="1:12" s="219" customFormat="1" ht="29.4" thickBot="1" x14ac:dyDescent="0.3">
      <c r="A27" s="214">
        <f t="shared" si="7"/>
        <v>20</v>
      </c>
      <c r="B27" s="311" t="s">
        <v>153</v>
      </c>
      <c r="C27" s="305" t="s">
        <v>220</v>
      </c>
      <c r="D27" s="236">
        <v>1</v>
      </c>
      <c r="E27" s="235">
        <v>3</v>
      </c>
      <c r="F27" s="235">
        <v>3</v>
      </c>
      <c r="G27" s="235">
        <v>3</v>
      </c>
      <c r="H27" s="235">
        <v>2</v>
      </c>
      <c r="I27" s="216">
        <f t="shared" si="9"/>
        <v>11</v>
      </c>
      <c r="J27" s="217">
        <f t="shared" si="2"/>
        <v>2.7</v>
      </c>
      <c r="K27" s="216" t="str">
        <f t="shared" si="3"/>
        <v>SÍ</v>
      </c>
      <c r="L27" s="218" t="s">
        <v>193</v>
      </c>
    </row>
    <row r="28" spans="1:12" s="219" customFormat="1" hidden="1" x14ac:dyDescent="0.3">
      <c r="A28" s="214">
        <f t="shared" si="7"/>
        <v>21</v>
      </c>
      <c r="B28" s="190"/>
      <c r="C28" s="221"/>
      <c r="D28" s="215"/>
      <c r="E28" s="216"/>
      <c r="F28" s="216"/>
      <c r="G28" s="216"/>
      <c r="H28" s="216"/>
      <c r="I28" s="216">
        <f t="shared" si="9"/>
        <v>0</v>
      </c>
      <c r="J28" s="217">
        <f t="shared" si="2"/>
        <v>0</v>
      </c>
      <c r="K28" s="216" t="str">
        <f t="shared" si="3"/>
        <v>NO</v>
      </c>
      <c r="L28" s="220"/>
    </row>
    <row r="29" spans="1:12" s="219" customFormat="1" hidden="1" x14ac:dyDescent="0.3">
      <c r="A29" s="214">
        <f t="shared" si="7"/>
        <v>22</v>
      </c>
      <c r="B29" s="190"/>
      <c r="C29" s="221"/>
      <c r="D29" s="215"/>
      <c r="E29" s="216"/>
      <c r="F29" s="216"/>
      <c r="G29" s="216"/>
      <c r="H29" s="216"/>
      <c r="I29" s="216">
        <f t="shared" si="9"/>
        <v>0</v>
      </c>
      <c r="J29" s="217">
        <f t="shared" si="2"/>
        <v>0</v>
      </c>
      <c r="K29" s="216" t="str">
        <f t="shared" si="3"/>
        <v>NO</v>
      </c>
      <c r="L29" s="220"/>
    </row>
    <row r="30" spans="1:12" s="219" customFormat="1" hidden="1" x14ac:dyDescent="0.3">
      <c r="A30" s="214">
        <f t="shared" si="7"/>
        <v>23</v>
      </c>
      <c r="B30" s="190"/>
      <c r="C30" s="221"/>
      <c r="D30" s="215"/>
      <c r="E30" s="216"/>
      <c r="F30" s="216"/>
      <c r="G30" s="216"/>
      <c r="H30" s="216"/>
      <c r="I30" s="216">
        <f t="shared" si="9"/>
        <v>0</v>
      </c>
      <c r="J30" s="217">
        <f t="shared" si="2"/>
        <v>0</v>
      </c>
      <c r="K30" s="216" t="str">
        <f t="shared" si="3"/>
        <v>NO</v>
      </c>
      <c r="L30" s="220"/>
    </row>
    <row r="31" spans="1:12" s="219" customFormat="1" hidden="1" x14ac:dyDescent="0.3">
      <c r="A31" s="214">
        <f t="shared" si="7"/>
        <v>24</v>
      </c>
      <c r="B31" s="190"/>
      <c r="C31" s="221"/>
      <c r="D31" s="215"/>
      <c r="E31" s="216"/>
      <c r="F31" s="216"/>
      <c r="G31" s="216"/>
      <c r="H31" s="216"/>
      <c r="I31" s="216">
        <f t="shared" si="9"/>
        <v>0</v>
      </c>
      <c r="J31" s="217">
        <f t="shared" si="2"/>
        <v>0</v>
      </c>
      <c r="K31" s="216" t="str">
        <f t="shared" si="3"/>
        <v>NO</v>
      </c>
      <c r="L31" s="220"/>
    </row>
    <row r="32" spans="1:12" s="219" customFormat="1" hidden="1" x14ac:dyDescent="0.3">
      <c r="A32" s="214">
        <f t="shared" si="7"/>
        <v>25</v>
      </c>
      <c r="B32" s="190"/>
      <c r="C32" s="221"/>
      <c r="D32" s="215"/>
      <c r="E32" s="216"/>
      <c r="F32" s="216"/>
      <c r="G32" s="216"/>
      <c r="H32" s="216"/>
      <c r="I32" s="216">
        <f t="shared" si="9"/>
        <v>0</v>
      </c>
      <c r="J32" s="217">
        <f t="shared" si="2"/>
        <v>0</v>
      </c>
      <c r="K32" s="216" t="str">
        <f t="shared" si="3"/>
        <v>NO</v>
      </c>
      <c r="L32" s="220"/>
    </row>
    <row r="33" spans="1:12" s="219" customFormat="1" hidden="1" x14ac:dyDescent="0.3">
      <c r="A33" s="214">
        <f t="shared" si="7"/>
        <v>26</v>
      </c>
      <c r="B33" s="190"/>
      <c r="C33" s="221"/>
      <c r="D33" s="215"/>
      <c r="E33" s="216"/>
      <c r="F33" s="216"/>
      <c r="G33" s="216"/>
      <c r="H33" s="216"/>
      <c r="I33" s="216">
        <f t="shared" si="9"/>
        <v>0</v>
      </c>
      <c r="J33" s="217">
        <f t="shared" si="2"/>
        <v>0</v>
      </c>
      <c r="K33" s="216" t="str">
        <f t="shared" si="3"/>
        <v>NO</v>
      </c>
      <c r="L33" s="220"/>
    </row>
    <row r="34" spans="1:12" s="219" customFormat="1" hidden="1" x14ac:dyDescent="0.3">
      <c r="A34" s="214">
        <f t="shared" si="7"/>
        <v>27</v>
      </c>
      <c r="B34" s="190"/>
      <c r="C34" s="221"/>
      <c r="D34" s="215"/>
      <c r="E34" s="216"/>
      <c r="F34" s="216"/>
      <c r="G34" s="216"/>
      <c r="H34" s="216"/>
      <c r="I34" s="216">
        <f t="shared" si="9"/>
        <v>0</v>
      </c>
      <c r="J34" s="217">
        <f t="shared" si="2"/>
        <v>0</v>
      </c>
      <c r="K34" s="216" t="str">
        <f t="shared" si="3"/>
        <v>NO</v>
      </c>
      <c r="L34" s="220"/>
    </row>
    <row r="35" spans="1:12" s="219" customFormat="1" hidden="1" x14ac:dyDescent="0.3">
      <c r="A35" s="214">
        <f t="shared" si="7"/>
        <v>28</v>
      </c>
      <c r="B35" s="190"/>
      <c r="C35" s="221"/>
      <c r="D35" s="215"/>
      <c r="E35" s="216"/>
      <c r="F35" s="216"/>
      <c r="G35" s="216"/>
      <c r="H35" s="216"/>
      <c r="I35" s="216">
        <f t="shared" si="9"/>
        <v>0</v>
      </c>
      <c r="J35" s="217">
        <f t="shared" si="2"/>
        <v>0</v>
      </c>
      <c r="K35" s="216" t="str">
        <f t="shared" si="3"/>
        <v>NO</v>
      </c>
      <c r="L35" s="220"/>
    </row>
    <row r="36" spans="1:12" s="219" customFormat="1" hidden="1" x14ac:dyDescent="0.3">
      <c r="A36" s="214">
        <f t="shared" si="7"/>
        <v>29</v>
      </c>
      <c r="B36" s="190"/>
      <c r="C36" s="221"/>
      <c r="D36" s="215"/>
      <c r="E36" s="216"/>
      <c r="F36" s="216"/>
      <c r="G36" s="216"/>
      <c r="H36" s="216"/>
      <c r="I36" s="216">
        <f t="shared" si="9"/>
        <v>0</v>
      </c>
      <c r="J36" s="217">
        <f t="shared" si="2"/>
        <v>0</v>
      </c>
      <c r="K36" s="216" t="str">
        <f t="shared" si="3"/>
        <v>NO</v>
      </c>
      <c r="L36" s="220"/>
    </row>
    <row r="37" spans="1:12" s="219" customFormat="1" hidden="1" x14ac:dyDescent="0.3">
      <c r="A37" s="214">
        <f t="shared" si="7"/>
        <v>30</v>
      </c>
      <c r="B37" s="222"/>
      <c r="C37" s="221"/>
      <c r="D37" s="215"/>
      <c r="E37" s="216"/>
      <c r="F37" s="216"/>
      <c r="G37" s="216"/>
      <c r="H37" s="216"/>
      <c r="I37" s="216">
        <f t="shared" si="9"/>
        <v>0</v>
      </c>
      <c r="J37" s="217">
        <f t="shared" si="2"/>
        <v>0</v>
      </c>
      <c r="K37" s="216" t="str">
        <f t="shared" si="3"/>
        <v>NO</v>
      </c>
      <c r="L37" s="220"/>
    </row>
    <row r="39" spans="1:12" ht="48" x14ac:dyDescent="0.3">
      <c r="C39" s="223" t="s">
        <v>221</v>
      </c>
    </row>
    <row r="40" spans="1:12" x14ac:dyDescent="0.3">
      <c r="A40" s="224"/>
      <c r="B40" s="224"/>
    </row>
  </sheetData>
  <protectedRanges>
    <protectedRange sqref="L2:L4" name="Rango2_2"/>
  </protectedRanges>
  <mergeCells count="10">
    <mergeCell ref="A1:K3"/>
    <mergeCell ref="A4:L4"/>
    <mergeCell ref="L6:L7"/>
    <mergeCell ref="A5:A7"/>
    <mergeCell ref="C5:C7"/>
    <mergeCell ref="E5:K5"/>
    <mergeCell ref="D6:D7"/>
    <mergeCell ref="I6:I7"/>
    <mergeCell ref="J6:J7"/>
    <mergeCell ref="K6:K7"/>
  </mergeCells>
  <conditionalFormatting sqref="K8:K21">
    <cfRule type="containsText" dxfId="350" priority="29" operator="containsText" text="NO">
      <formula>NOT(ISERROR(SEARCH("NO",K8)))</formula>
    </cfRule>
    <cfRule type="containsText" dxfId="349" priority="31" operator="containsText" text="SÍ">
      <formula>NOT(ISERROR(SEARCH("SÍ",K8)))</formula>
    </cfRule>
  </conditionalFormatting>
  <conditionalFormatting sqref="K8 A40:B40 B28:C30 A8:A37 D9:K10 D8 E22:H27 E11:K21">
    <cfRule type="containsText" dxfId="348" priority="30" operator="containsText" text="SÍ">
      <formula>NOT(ISERROR(SEARCH("SÍ",A8)))</formula>
    </cfRule>
  </conditionalFormatting>
  <conditionalFormatting sqref="E22:H27 E8:J21">
    <cfRule type="cellIs" dxfId="347" priority="28" operator="equal">
      <formula>0</formula>
    </cfRule>
  </conditionalFormatting>
  <conditionalFormatting sqref="K22:K24">
    <cfRule type="containsText" dxfId="346" priority="25" operator="containsText" text="NO">
      <formula>NOT(ISERROR(SEARCH("NO",K22)))</formula>
    </cfRule>
    <cfRule type="containsText" dxfId="345" priority="27" operator="containsText" text="SÍ">
      <formula>NOT(ISERROR(SEARCH("SÍ",K22)))</formula>
    </cfRule>
  </conditionalFormatting>
  <conditionalFormatting sqref="I22:K24">
    <cfRule type="containsText" dxfId="344" priority="26" operator="containsText" text="SÍ">
      <formula>NOT(ISERROR(SEARCH("SÍ",I22)))</formula>
    </cfRule>
  </conditionalFormatting>
  <conditionalFormatting sqref="I22:J24">
    <cfRule type="cellIs" dxfId="343" priority="24" operator="equal">
      <formula>0</formula>
    </cfRule>
  </conditionalFormatting>
  <conditionalFormatting sqref="K25:K30">
    <cfRule type="containsText" dxfId="342" priority="21" operator="containsText" text="NO">
      <formula>NOT(ISERROR(SEARCH("NO",K25)))</formula>
    </cfRule>
    <cfRule type="containsText" dxfId="341" priority="23" operator="containsText" text="SÍ">
      <formula>NOT(ISERROR(SEARCH("SÍ",K25)))</formula>
    </cfRule>
  </conditionalFormatting>
  <conditionalFormatting sqref="D28:K30 I25:K27">
    <cfRule type="containsText" dxfId="340" priority="22" operator="containsText" text="SÍ">
      <formula>NOT(ISERROR(SEARCH("SÍ",D25)))</formula>
    </cfRule>
  </conditionalFormatting>
  <conditionalFormatting sqref="E28:J30 I25:J27">
    <cfRule type="cellIs" dxfId="339" priority="20" operator="equal">
      <formula>0</formula>
    </cfRule>
  </conditionalFormatting>
  <conditionalFormatting sqref="B31:C37">
    <cfRule type="containsText" dxfId="338" priority="19" operator="containsText" text="SÍ">
      <formula>NOT(ISERROR(SEARCH("SÍ",B31)))</formula>
    </cfRule>
  </conditionalFormatting>
  <conditionalFormatting sqref="K31:K37">
    <cfRule type="containsText" dxfId="337" priority="16" operator="containsText" text="NO">
      <formula>NOT(ISERROR(SEARCH("NO",K31)))</formula>
    </cfRule>
    <cfRule type="containsText" dxfId="336" priority="18" operator="containsText" text="SÍ">
      <formula>NOT(ISERROR(SEARCH("SÍ",K31)))</formula>
    </cfRule>
  </conditionalFormatting>
  <conditionalFormatting sqref="D31:K37">
    <cfRule type="containsText" dxfId="335" priority="17" operator="containsText" text="SÍ">
      <formula>NOT(ISERROR(SEARCH("SÍ",D31)))</formula>
    </cfRule>
  </conditionalFormatting>
  <conditionalFormatting sqref="E31:J37">
    <cfRule type="cellIs" dxfId="334" priority="15" operator="equal">
      <formula>0</formula>
    </cfRule>
  </conditionalFormatting>
  <conditionalFormatting sqref="D11:D27">
    <cfRule type="containsText" dxfId="333" priority="4" operator="containsText" text="SÍ">
      <formula>NOT(ISERROR(SEARCH("SÍ",D11)))</formula>
    </cfRule>
  </conditionalFormatting>
  <dataValidations count="1">
    <dataValidation type="list" allowBlank="1" showInputMessage="1" showErrorMessage="1" sqref="D8:H27" xr:uid="{00000000-0002-0000-0200-000000000000}">
      <formula1>$N$2:$N$5</formula1>
    </dataValidation>
  </dataValidations>
  <pageMargins left="0.7" right="0.7" top="0.75" bottom="0.75" header="0.3" footer="0.3"/>
  <pageSetup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'E:\ADO\Proceso de Inclusión Social y F\Equipo de Mejoramiento ISFA\EM ISFA 2024\4. EM ISFA ABRIL 2024\[MATRIZ MULTICRITERIO PRIORIZACION ESTRATEGIAS ISFA Abril 24 2024.xlsx]Hoja2'!#REF!</xm:f>
          </x14:formula1>
          <xm:sqref>D28:H37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BI75"/>
  <sheetViews>
    <sheetView showGridLines="0" zoomScale="97" zoomScaleNormal="97" workbookViewId="0"/>
  </sheetViews>
  <sheetFormatPr baseColWidth="10" defaultColWidth="11.44140625" defaultRowHeight="13.8" x14ac:dyDescent="0.25"/>
  <cols>
    <col min="1" max="1" width="9" style="2"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10" style="1" customWidth="1"/>
    <col min="12" max="12" width="17.5546875" style="1" customWidth="1"/>
    <col min="13" max="13" width="6.33203125" style="1" bestFit="1" customWidth="1"/>
    <col min="14" max="14" width="16" style="1" customWidth="1"/>
    <col min="15" max="15" width="26.5546875" style="1" customWidth="1"/>
    <col min="16" max="16" width="5.88671875" style="1" customWidth="1"/>
    <col min="17" max="17" width="67.33203125" style="1" customWidth="1"/>
    <col min="18" max="18" width="15.109375" style="1" bestFit="1" customWidth="1"/>
    <col min="19" max="19" width="6.88671875" style="1" customWidth="1"/>
    <col min="20" max="20" width="5" style="1" customWidth="1"/>
    <col min="21" max="21" width="5.5546875" style="1" customWidth="1"/>
    <col min="22" max="22" width="7.109375" style="1" customWidth="1"/>
    <col min="23" max="23" width="6.6640625" style="1" customWidth="1"/>
    <col min="24" max="24" width="7.5546875" style="1" customWidth="1"/>
    <col min="25" max="25" width="6.6640625" style="1" customWidth="1"/>
    <col min="26" max="26" width="8.6640625" style="1" customWidth="1"/>
    <col min="27" max="27" width="10.44140625" style="1" customWidth="1"/>
    <col min="28" max="28" width="9.33203125" style="1" customWidth="1"/>
    <col min="29" max="29" width="9.109375" style="1" customWidth="1"/>
    <col min="30" max="30" width="8.44140625" style="1" customWidth="1"/>
    <col min="31" max="31" width="10.33203125" style="1" customWidth="1"/>
    <col min="32" max="16384" width="11.44140625" style="1"/>
  </cols>
  <sheetData>
    <row r="1" spans="1:61" ht="30" customHeight="1" x14ac:dyDescent="0.25">
      <c r="A1" s="438" t="s">
        <v>0</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40"/>
      <c r="AB1" s="131" t="s">
        <v>1</v>
      </c>
      <c r="AC1" s="238"/>
      <c r="AD1" s="239"/>
      <c r="AE1" s="240"/>
    </row>
    <row r="2" spans="1:61" ht="30" customHeight="1" x14ac:dyDescent="0.25">
      <c r="A2" s="441"/>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3"/>
      <c r="AB2" s="437" t="s">
        <v>2</v>
      </c>
      <c r="AC2" s="437"/>
      <c r="AD2" s="437"/>
      <c r="AE2" s="437"/>
    </row>
    <row r="3" spans="1:61" ht="30" customHeight="1" x14ac:dyDescent="0.25">
      <c r="A3" s="444"/>
      <c r="B3" s="445"/>
      <c r="C3" s="445"/>
      <c r="D3" s="445"/>
      <c r="E3" s="445"/>
      <c r="F3" s="445"/>
      <c r="G3" s="445"/>
      <c r="H3" s="445"/>
      <c r="I3" s="445"/>
      <c r="J3" s="445"/>
      <c r="K3" s="445"/>
      <c r="L3" s="445"/>
      <c r="M3" s="445"/>
      <c r="N3" s="445"/>
      <c r="O3" s="445"/>
      <c r="P3" s="445"/>
      <c r="Q3" s="445"/>
      <c r="R3" s="445"/>
      <c r="S3" s="445"/>
      <c r="T3" s="445"/>
      <c r="U3" s="445"/>
      <c r="V3" s="445"/>
      <c r="W3" s="445"/>
      <c r="X3" s="445"/>
      <c r="Y3" s="445"/>
      <c r="Z3" s="445"/>
      <c r="AA3" s="446"/>
      <c r="AB3" s="437" t="s">
        <v>3</v>
      </c>
      <c r="AC3" s="437"/>
      <c r="AD3" s="437"/>
      <c r="AE3" s="437"/>
    </row>
    <row r="4" spans="1:61" x14ac:dyDescent="0.25">
      <c r="A4" s="429" t="s">
        <v>222</v>
      </c>
      <c r="B4" s="430"/>
      <c r="C4" s="430"/>
      <c r="D4" s="430"/>
      <c r="E4" s="430"/>
      <c r="F4" s="430"/>
      <c r="G4" s="430"/>
      <c r="H4" s="430"/>
      <c r="I4" s="430"/>
      <c r="J4" s="430"/>
      <c r="K4" s="430"/>
      <c r="L4" s="430"/>
      <c r="M4" s="430"/>
      <c r="N4" s="430"/>
      <c r="O4" s="431"/>
      <c r="P4" s="431"/>
      <c r="Q4" s="431"/>
      <c r="R4" s="431"/>
      <c r="S4" s="431"/>
      <c r="T4" s="431"/>
      <c r="U4" s="431"/>
      <c r="V4" s="431"/>
      <c r="W4" s="431"/>
      <c r="X4" s="431"/>
      <c r="Y4" s="431"/>
      <c r="Z4" s="431"/>
      <c r="AA4" s="431"/>
      <c r="AB4" s="430"/>
      <c r="AC4" s="430"/>
      <c r="AD4" s="430"/>
      <c r="AE4" s="430"/>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row>
    <row r="5" spans="1:61" x14ac:dyDescent="0.25">
      <c r="A5" s="432"/>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61" x14ac:dyDescent="0.25">
      <c r="A6" s="28"/>
      <c r="B6" s="29"/>
      <c r="C6" s="28"/>
      <c r="D6" s="28"/>
      <c r="E6" s="8"/>
      <c r="F6" s="27"/>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row>
    <row r="7" spans="1:61" ht="23.4" x14ac:dyDescent="0.25">
      <c r="A7" s="130" t="s">
        <v>223</v>
      </c>
      <c r="B7" s="127"/>
      <c r="C7" s="425"/>
      <c r="D7" s="426"/>
      <c r="E7" s="426"/>
      <c r="F7" s="426"/>
      <c r="G7" s="426"/>
      <c r="H7" s="426"/>
      <c r="I7" s="426"/>
      <c r="J7" s="426"/>
      <c r="K7" s="426"/>
      <c r="L7" s="426"/>
      <c r="M7" s="426"/>
      <c r="N7" s="427"/>
      <c r="O7" s="128"/>
      <c r="P7" s="428"/>
      <c r="Q7" s="428"/>
      <c r="R7" s="42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row>
    <row r="8" spans="1:61" ht="23.4" x14ac:dyDescent="0.25">
      <c r="A8" s="130" t="s">
        <v>224</v>
      </c>
      <c r="B8" s="127"/>
      <c r="C8" s="449"/>
      <c r="D8" s="450"/>
      <c r="E8" s="450"/>
      <c r="F8" s="450"/>
      <c r="G8" s="450"/>
      <c r="H8" s="450"/>
      <c r="I8" s="450"/>
      <c r="J8" s="450"/>
      <c r="K8" s="450"/>
      <c r="L8" s="450"/>
      <c r="M8" s="450"/>
      <c r="N8" s="451"/>
      <c r="O8" s="129"/>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row>
    <row r="9" spans="1:61" ht="23.4" x14ac:dyDescent="0.25">
      <c r="A9" s="130" t="s">
        <v>225</v>
      </c>
      <c r="B9" s="127"/>
      <c r="C9" s="449"/>
      <c r="D9" s="450"/>
      <c r="E9" s="450"/>
      <c r="F9" s="450"/>
      <c r="G9" s="450"/>
      <c r="H9" s="450"/>
      <c r="I9" s="450"/>
      <c r="J9" s="450"/>
      <c r="K9" s="450"/>
      <c r="L9" s="450"/>
      <c r="M9" s="450"/>
      <c r="N9" s="451"/>
      <c r="O9" s="129"/>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row>
    <row r="10" spans="1:61" x14ac:dyDescent="0.25">
      <c r="A10" s="434" t="s">
        <v>226</v>
      </c>
      <c r="B10" s="435"/>
      <c r="C10" s="435"/>
      <c r="D10" s="435"/>
      <c r="E10" s="435"/>
      <c r="F10" s="435"/>
      <c r="G10" s="436"/>
      <c r="H10" s="434" t="s">
        <v>227</v>
      </c>
      <c r="I10" s="435"/>
      <c r="J10" s="435"/>
      <c r="K10" s="435"/>
      <c r="L10" s="435"/>
      <c r="M10" s="435"/>
      <c r="N10" s="436"/>
      <c r="O10" s="125"/>
      <c r="P10" s="434" t="s">
        <v>228</v>
      </c>
      <c r="Q10" s="435"/>
      <c r="R10" s="435"/>
      <c r="S10" s="435"/>
      <c r="T10" s="435"/>
      <c r="U10" s="435"/>
      <c r="V10" s="435"/>
      <c r="W10" s="435"/>
      <c r="X10" s="436"/>
      <c r="Y10" s="434" t="s">
        <v>229</v>
      </c>
      <c r="Z10" s="435"/>
      <c r="AA10" s="435"/>
      <c r="AB10" s="435"/>
      <c r="AC10" s="435"/>
      <c r="AD10" s="435"/>
      <c r="AE10" s="436"/>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row>
    <row r="11" spans="1:61" ht="16.5" customHeight="1" x14ac:dyDescent="0.25">
      <c r="A11" s="397" t="s">
        <v>230</v>
      </c>
      <c r="B11" s="387" t="s">
        <v>231</v>
      </c>
      <c r="C11" s="400" t="s">
        <v>21</v>
      </c>
      <c r="D11" s="400" t="s">
        <v>23</v>
      </c>
      <c r="E11" s="401" t="s">
        <v>25</v>
      </c>
      <c r="F11" s="399" t="s">
        <v>27</v>
      </c>
      <c r="G11" s="400" t="s">
        <v>232</v>
      </c>
      <c r="H11" s="453" t="s">
        <v>233</v>
      </c>
      <c r="I11" s="389" t="s">
        <v>234</v>
      </c>
      <c r="J11" s="399" t="s">
        <v>235</v>
      </c>
      <c r="K11" s="399" t="s">
        <v>236</v>
      </c>
      <c r="L11" s="454" t="s">
        <v>237</v>
      </c>
      <c r="M11" s="389" t="s">
        <v>234</v>
      </c>
      <c r="N11" s="400" t="s">
        <v>33</v>
      </c>
      <c r="O11" s="399" t="s">
        <v>238</v>
      </c>
      <c r="P11" s="447" t="s">
        <v>239</v>
      </c>
      <c r="Q11" s="403" t="s">
        <v>35</v>
      </c>
      <c r="R11" s="399" t="s">
        <v>37</v>
      </c>
      <c r="S11" s="403" t="s">
        <v>240</v>
      </c>
      <c r="T11" s="403"/>
      <c r="U11" s="403"/>
      <c r="V11" s="403"/>
      <c r="W11" s="403"/>
      <c r="X11" s="403"/>
      <c r="Y11" s="452" t="s">
        <v>241</v>
      </c>
      <c r="Z11" s="452" t="s">
        <v>242</v>
      </c>
      <c r="AA11" s="452" t="s">
        <v>234</v>
      </c>
      <c r="AB11" s="452" t="s">
        <v>243</v>
      </c>
      <c r="AC11" s="452" t="s">
        <v>234</v>
      </c>
      <c r="AD11" s="452" t="s">
        <v>244</v>
      </c>
      <c r="AE11" s="447" t="s">
        <v>53</v>
      </c>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row>
    <row r="12" spans="1:61" s="4" customFormat="1" ht="79.5" customHeight="1" x14ac:dyDescent="0.3">
      <c r="A12" s="398"/>
      <c r="B12" s="388"/>
      <c r="C12" s="403"/>
      <c r="D12" s="403"/>
      <c r="E12" s="402"/>
      <c r="F12" s="400"/>
      <c r="G12" s="403"/>
      <c r="H12" s="400"/>
      <c r="I12" s="390"/>
      <c r="J12" s="400"/>
      <c r="K12" s="400"/>
      <c r="L12" s="390"/>
      <c r="M12" s="390"/>
      <c r="N12" s="403"/>
      <c r="O12" s="400"/>
      <c r="P12" s="448"/>
      <c r="Q12" s="403"/>
      <c r="R12" s="400"/>
      <c r="S12" s="7" t="s">
        <v>245</v>
      </c>
      <c r="T12" s="7" t="s">
        <v>246</v>
      </c>
      <c r="U12" s="7" t="s">
        <v>247</v>
      </c>
      <c r="V12" s="7" t="s">
        <v>248</v>
      </c>
      <c r="W12" s="7" t="s">
        <v>249</v>
      </c>
      <c r="X12" s="7" t="s">
        <v>250</v>
      </c>
      <c r="Y12" s="452"/>
      <c r="Z12" s="452"/>
      <c r="AA12" s="452"/>
      <c r="AB12" s="452"/>
      <c r="AC12" s="452"/>
      <c r="AD12" s="452"/>
      <c r="AE12" s="448"/>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row>
    <row r="13" spans="1:61" s="3" customFormat="1" x14ac:dyDescent="0.3">
      <c r="A13" s="404">
        <v>1</v>
      </c>
      <c r="B13" s="391"/>
      <c r="C13" s="391"/>
      <c r="D13" s="391"/>
      <c r="E13" s="406"/>
      <c r="F13" s="391"/>
      <c r="G13" s="414"/>
      <c r="H13" s="412" t="str">
        <f>IF(G13&lt;=0,"",IF(G13&lt;=2,"Muy Baja",IF(G13&lt;=24,"Baja",IF(G13&lt;=500,"Media",IF(G13&lt;=5000,"Alta","Muy Alta")))))</f>
        <v/>
      </c>
      <c r="I13" s="410" t="str">
        <f>IF(H13="","",IF(H13="Muy Baja",0.2,IF(H13="Baja",0.4,IF(H13="Media",0.6,IF(H13="Alta",0.8,IF(H13="Muy Alta",1,))))))</f>
        <v/>
      </c>
      <c r="J13" s="408"/>
      <c r="K13" s="410">
        <f>IF(NOT(ISERROR(MATCH(J13,'Tabla Impacto'!$B$221:$B$223,0))),'Tabla Impacto'!$F$223&amp;"Por favor no seleccionar los criterios de impacto(Afectación Económica o presupuestal y Pérdida Reputacional)",J13)</f>
        <v>0</v>
      </c>
      <c r="L13" s="412" t="str">
        <f>IF(OR(K13='Tabla Impacto'!$C$11,K13='Tabla Impacto'!$D$11),"Leve",IF(OR(K13='Tabla Impacto'!$C$12,K13='Tabla Impacto'!$D$12),"Menor",IF(OR(K13='Tabla Impacto'!$C$13,K13='Tabla Impacto'!$D$13),"Moderado",IF(OR(K13='Tabla Impacto'!$C$14,K13='Tabla Impacto'!$D$14),"Mayor",IF(OR(K13='Tabla Impacto'!$C$15,K13='Tabla Impacto'!$D$15),"Catastrófico","")))))</f>
        <v/>
      </c>
      <c r="M13" s="410" t="str">
        <f>IF(L13="","",IF(L13="Leve",0.2,IF(L13="Menor",0.4,IF(L13="Moderado",0.6,IF(L13="Mayor",0.8,IF(L13="Catastrófico",1,))))))</f>
        <v/>
      </c>
      <c r="N13" s="417"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
      </c>
      <c r="O13" s="114"/>
      <c r="P13" s="114">
        <v>1</v>
      </c>
      <c r="Q13" s="115"/>
      <c r="R13" s="116" t="str">
        <f>IF(OR(S13="Preventivo",S13="Detectivo"),"Probabilidad",IF(S13="Correctivo","Impacto",""))</f>
        <v/>
      </c>
      <c r="S13" s="117"/>
      <c r="T13" s="117"/>
      <c r="U13" s="118" t="str">
        <f>IF(AND(S13="Preventivo",T13="Automático"),"50%",IF(AND(S13="Preventivo",T13="Manual"),"40%",IF(AND(S13="Detectivo",T13="Automático"),"40%",IF(AND(S13="Detectivo",T13="Manual"),"30%",IF(AND(S13="Correctivo",T13="Automático"),"35%",IF(AND(S13="Correctivo",T13="Manual"),"25%",""))))))</f>
        <v/>
      </c>
      <c r="V13" s="117"/>
      <c r="W13" s="117"/>
      <c r="X13" s="117"/>
      <c r="Y13" s="119" t="str">
        <f>IFERROR(IF(R13="Probabilidad",(I13-(+I13*U13)),IF(R13="Impacto",I13,"")),"")</f>
        <v/>
      </c>
      <c r="Z13" s="120" t="str">
        <f>IFERROR(IF(Y13="","",IF(Y13&lt;=0.2,"Muy Baja",IF(Y13&lt;=0.4,"Baja",IF(Y13&lt;=0.6,"Media",IF(Y13&lt;=0.8,"Alta","Muy Alta"))))),"")</f>
        <v/>
      </c>
      <c r="AA13" s="121" t="str">
        <f>+Y13</f>
        <v/>
      </c>
      <c r="AB13" s="120" t="str">
        <f>IFERROR(IF(AC13="","",IF(AC13&lt;=0.2,"Leve",IF(AC13&lt;=0.4,"Menor",IF(AC13&lt;=0.6,"Moderado",IF(AC13&lt;=0.8,"Mayor","Catastrófico"))))),"")</f>
        <v/>
      </c>
      <c r="AC13" s="121" t="str">
        <f>IFERROR(IF(R13="Impacto",(M13-(+M13*U13)),IF(R13="Probabilidad",M13,"")),"")</f>
        <v/>
      </c>
      <c r="AD13" s="122" t="str">
        <f>IFERROR(IF(OR(AND(Z13="Muy Baja",AB13="Leve"),AND(Z13="Muy Baja",AB13="Menor"),AND(Z13="Baja",AB13="Leve")),"Bajo",IF(OR(AND(Z13="Muy baja",AB13="Moderado"),AND(Z13="Baja",AB13="Menor"),AND(Z13="Baja",AB13="Moderado"),AND(Z13="Media",AB13="Leve"),AND(Z13="Media",AB13="Menor"),AND(Z13="Media",AB13="Moderado"),AND(Z13="Alta",AB13="Leve"),AND(Z13="Alta",AB13="Menor")),"Moderado",IF(OR(AND(Z13="Muy Baja",AB13="Mayor"),AND(Z13="Baja",AB13="Mayor"),AND(Z13="Media",AB13="Mayor"),AND(Z13="Alta",AB13="Moderado"),AND(Z13="Alta",AB13="Mayor"),AND(Z13="Muy Alta",AB13="Leve"),AND(Z13="Muy Alta",AB13="Menor"),AND(Z13="Muy Alta",AB13="Moderado"),AND(Z13="Muy Alta",AB13="Mayor")),"Alto",IF(OR(AND(Z13="Muy Baja",AB13="Catastrófico"),AND(Z13="Baja",AB13="Catastrófico"),AND(Z13="Media",AB13="Catastrófico"),AND(Z13="Alta",AB13="Catastrófico"),AND(Z13="Muy Alta",AB13="Catastrófico")),"Extremo","")))),"")</f>
        <v/>
      </c>
      <c r="AE13" s="123"/>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row>
    <row r="14" spans="1:61" x14ac:dyDescent="0.25">
      <c r="A14" s="405"/>
      <c r="B14" s="392"/>
      <c r="C14" s="392"/>
      <c r="D14" s="392"/>
      <c r="E14" s="407"/>
      <c r="F14" s="392"/>
      <c r="G14" s="415"/>
      <c r="H14" s="413"/>
      <c r="I14" s="411"/>
      <c r="J14" s="409"/>
      <c r="K14" s="411">
        <f>IF(NOT(ISERROR(MATCH(J14,_xlfn.ANCHORARRAY(E25),0))),I27&amp;"Por favor no seleccionar los criterios de impacto",J14)</f>
        <v>0</v>
      </c>
      <c r="L14" s="413"/>
      <c r="M14" s="411"/>
      <c r="N14" s="418"/>
      <c r="O14" s="114"/>
      <c r="P14" s="114">
        <v>2</v>
      </c>
      <c r="Q14" s="115"/>
      <c r="R14" s="116" t="str">
        <f>IF(OR(S14="Preventivo",S14="Detectivo"),"Probabilidad",IF(S14="Correctivo","Impacto",""))</f>
        <v/>
      </c>
      <c r="S14" s="117"/>
      <c r="T14" s="117"/>
      <c r="U14" s="118" t="str">
        <f t="shared" ref="U14:U17" si="0">IF(AND(S14="Preventivo",T14="Automático"),"50%",IF(AND(S14="Preventivo",T14="Manual"),"40%",IF(AND(S14="Detectivo",T14="Automático"),"40%",IF(AND(S14="Detectivo",T14="Manual"),"30%",IF(AND(S14="Correctivo",T14="Automático"),"35%",IF(AND(S14="Correctivo",T14="Manual"),"25%",""))))))</f>
        <v/>
      </c>
      <c r="V14" s="117"/>
      <c r="W14" s="117"/>
      <c r="X14" s="117"/>
      <c r="Y14" s="119" t="str">
        <f>IFERROR(IF(AND(R13="Probabilidad",R14="Probabilidad"),(AA13-(+AA13*U14)),IF(R14="Probabilidad",(I13-(+I13*U14)),IF(R14="Impacto",AA13,""))),"")</f>
        <v/>
      </c>
      <c r="Z14" s="120" t="str">
        <f t="shared" ref="Z14:Z72" si="1">IFERROR(IF(Y14="","",IF(Y14&lt;=0.2,"Muy Baja",IF(Y14&lt;=0.4,"Baja",IF(Y14&lt;=0.6,"Media",IF(Y14&lt;=0.8,"Alta","Muy Alta"))))),"")</f>
        <v/>
      </c>
      <c r="AA14" s="121" t="str">
        <f t="shared" ref="AA14:AA17" si="2">+Y14</f>
        <v/>
      </c>
      <c r="AB14" s="120" t="str">
        <f t="shared" ref="AB14:AB72" si="3">IFERROR(IF(AC14="","",IF(AC14&lt;=0.2,"Leve",IF(AC14&lt;=0.4,"Menor",IF(AC14&lt;=0.6,"Moderado",IF(AC14&lt;=0.8,"Mayor","Catastrófico"))))),"")</f>
        <v/>
      </c>
      <c r="AC14" s="121" t="str">
        <f>IFERROR(IF(AND(R13="Impacto",R14="Impacto"),(AC13-(+AC13*U14)),IF(R14="Impacto",(M13-(+M13*U14)),IF(R14="Probabilidad",AC13,""))),"")</f>
        <v/>
      </c>
      <c r="AD14" s="122" t="str">
        <f t="shared" ref="AD14:AD17" si="4">IFERROR(IF(OR(AND(Z14="Muy Baja",AB14="Leve"),AND(Z14="Muy Baja",AB14="Menor"),AND(Z14="Baja",AB14="Leve")),"Bajo",IF(OR(AND(Z14="Muy baja",AB14="Moderado"),AND(Z14="Baja",AB14="Menor"),AND(Z14="Baja",AB14="Moderado"),AND(Z14="Media",AB14="Leve"),AND(Z14="Media",AB14="Menor"),AND(Z14="Media",AB14="Moderado"),AND(Z14="Alta",AB14="Leve"),AND(Z14="Alta",AB14="Menor")),"Moderado",IF(OR(AND(Z14="Muy Baja",AB14="Mayor"),AND(Z14="Baja",AB14="Mayor"),AND(Z14="Media",AB14="Mayor"),AND(Z14="Alta",AB14="Moderado"),AND(Z14="Alta",AB14="Mayor"),AND(Z14="Muy Alta",AB14="Leve"),AND(Z14="Muy Alta",AB14="Menor"),AND(Z14="Muy Alta",AB14="Moderado"),AND(Z14="Muy Alta",AB14="Mayor")),"Alto",IF(OR(AND(Z14="Muy Baja",AB14="Catastrófico"),AND(Z14="Baja",AB14="Catastrófico"),AND(Z14="Media",AB14="Catastrófico"),AND(Z14="Alta",AB14="Catastrófico"),AND(Z14="Muy Alta",AB14="Catastrófico")),"Extremo","")))),"")</f>
        <v/>
      </c>
      <c r="AE14" s="123"/>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row>
    <row r="15" spans="1:61" x14ac:dyDescent="0.25">
      <c r="A15" s="405"/>
      <c r="B15" s="392"/>
      <c r="C15" s="392"/>
      <c r="D15" s="392"/>
      <c r="E15" s="407"/>
      <c r="F15" s="392"/>
      <c r="G15" s="415"/>
      <c r="H15" s="413"/>
      <c r="I15" s="411"/>
      <c r="J15" s="409"/>
      <c r="K15" s="411">
        <f>IF(NOT(ISERROR(MATCH(J15,_xlfn.ANCHORARRAY(E26),0))),I28&amp;"Por favor no seleccionar los criterios de impacto",J15)</f>
        <v>0</v>
      </c>
      <c r="L15" s="413"/>
      <c r="M15" s="411"/>
      <c r="N15" s="418"/>
      <c r="O15" s="114"/>
      <c r="P15" s="114">
        <v>3</v>
      </c>
      <c r="Q15" s="124"/>
      <c r="R15" s="116" t="str">
        <f>IF(OR(S15="Preventivo",S15="Detectivo"),"Probabilidad",IF(S15="Correctivo","Impacto",""))</f>
        <v/>
      </c>
      <c r="S15" s="117"/>
      <c r="T15" s="117"/>
      <c r="U15" s="118" t="str">
        <f t="shared" si="0"/>
        <v/>
      </c>
      <c r="V15" s="117"/>
      <c r="W15" s="117"/>
      <c r="X15" s="117"/>
      <c r="Y15" s="119" t="str">
        <f>IFERROR(IF(AND(R14="Probabilidad",R15="Probabilidad"),(AA14-(+AA14*U15)),IF(AND(R14="Impacto",R15="Probabilidad"),(AA13-(+AA13*U15)),IF(R15="Impacto",AA14,""))),"")</f>
        <v/>
      </c>
      <c r="Z15" s="120" t="str">
        <f t="shared" si="1"/>
        <v/>
      </c>
      <c r="AA15" s="121" t="str">
        <f t="shared" si="2"/>
        <v/>
      </c>
      <c r="AB15" s="120" t="str">
        <f t="shared" si="3"/>
        <v/>
      </c>
      <c r="AC15" s="121" t="str">
        <f>IFERROR(IF(AND(R14="Impacto",R15="Impacto"),(AC14-(+AC14*U15)),IF(AND(R14="Probabilidad",R15="Impacto"),(AC13-(+AC13*U15)),IF(R15="Probabilidad",AC14,""))),"")</f>
        <v/>
      </c>
      <c r="AD15" s="122" t="str">
        <f t="shared" si="4"/>
        <v/>
      </c>
      <c r="AE15" s="123"/>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row>
    <row r="16" spans="1:61" x14ac:dyDescent="0.25">
      <c r="A16" s="405"/>
      <c r="B16" s="392"/>
      <c r="C16" s="392"/>
      <c r="D16" s="392"/>
      <c r="E16" s="407"/>
      <c r="F16" s="392"/>
      <c r="G16" s="415"/>
      <c r="H16" s="413"/>
      <c r="I16" s="411"/>
      <c r="J16" s="409"/>
      <c r="K16" s="411">
        <f>IF(NOT(ISERROR(MATCH(J16,_xlfn.ANCHORARRAY(E27),0))),I29&amp;"Por favor no seleccionar los criterios de impacto",J16)</f>
        <v>0</v>
      </c>
      <c r="L16" s="413"/>
      <c r="M16" s="411"/>
      <c r="N16" s="418"/>
      <c r="O16" s="114"/>
      <c r="P16" s="114">
        <v>4</v>
      </c>
      <c r="Q16" s="115"/>
      <c r="R16" s="116" t="str">
        <f t="shared" ref="R16:R17" si="5">IF(OR(S16="Preventivo",S16="Detectivo"),"Probabilidad",IF(S16="Correctivo","Impacto",""))</f>
        <v/>
      </c>
      <c r="S16" s="117"/>
      <c r="T16" s="117"/>
      <c r="U16" s="118" t="str">
        <f t="shared" si="0"/>
        <v/>
      </c>
      <c r="V16" s="117"/>
      <c r="W16" s="117"/>
      <c r="X16" s="117"/>
      <c r="Y16" s="119" t="str">
        <f t="shared" ref="Y16:Y17" si="6">IFERROR(IF(AND(R15="Probabilidad",R16="Probabilidad"),(AA15-(+AA15*U16)),IF(AND(R15="Impacto",R16="Probabilidad"),(AA14-(+AA14*U16)),IF(R16="Impacto",AA15,""))),"")</f>
        <v/>
      </c>
      <c r="Z16" s="120" t="str">
        <f t="shared" si="1"/>
        <v/>
      </c>
      <c r="AA16" s="121" t="str">
        <f t="shared" si="2"/>
        <v/>
      </c>
      <c r="AB16" s="120" t="str">
        <f t="shared" si="3"/>
        <v/>
      </c>
      <c r="AC16" s="121" t="str">
        <f t="shared" ref="AC16:AC17" si="7">IFERROR(IF(AND(R15="Impacto",R16="Impacto"),(AC15-(+AC15*U16)),IF(AND(R15="Probabilidad",R16="Impacto"),(AC14-(+AC14*U16)),IF(R16="Probabilidad",AC15,""))),"")</f>
        <v/>
      </c>
      <c r="AD16" s="122" t="str">
        <f>IFERROR(IF(OR(AND(Z16="Muy Baja",AB16="Leve"),AND(Z16="Muy Baja",AB16="Menor"),AND(Z16="Baja",AB16="Leve")),"Bajo",IF(OR(AND(Z16="Muy baja",AB16="Moderado"),AND(Z16="Baja",AB16="Menor"),AND(Z16="Baja",AB16="Moderado"),AND(Z16="Media",AB16="Leve"),AND(Z16="Media",AB16="Menor"),AND(Z16="Media",AB16="Moderado"),AND(Z16="Alta",AB16="Leve"),AND(Z16="Alta",AB16="Menor")),"Moderado",IF(OR(AND(Z16="Muy Baja",AB16="Mayor"),AND(Z16="Baja",AB16="Mayor"),AND(Z16="Media",AB16="Mayor"),AND(Z16="Alta",AB16="Moderado"),AND(Z16="Alta",AB16="Mayor"),AND(Z16="Muy Alta",AB16="Leve"),AND(Z16="Muy Alta",AB16="Menor"),AND(Z16="Muy Alta",AB16="Moderado"),AND(Z16="Muy Alta",AB16="Mayor")),"Alto",IF(OR(AND(Z16="Muy Baja",AB16="Catastrófico"),AND(Z16="Baja",AB16="Catastrófico"),AND(Z16="Media",AB16="Catastrófico"),AND(Z16="Alta",AB16="Catastrófico"),AND(Z16="Muy Alta",AB16="Catastrófico")),"Extremo","")))),"")</f>
        <v/>
      </c>
      <c r="AE16" s="123"/>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row>
    <row r="17" spans="1:61" x14ac:dyDescent="0.25">
      <c r="A17" s="405"/>
      <c r="B17" s="392"/>
      <c r="C17" s="392"/>
      <c r="D17" s="392"/>
      <c r="E17" s="407"/>
      <c r="F17" s="392"/>
      <c r="G17" s="415"/>
      <c r="H17" s="413"/>
      <c r="I17" s="411"/>
      <c r="J17" s="409"/>
      <c r="K17" s="411">
        <f>IF(NOT(ISERROR(MATCH(J17,_xlfn.ANCHORARRAY(E28),0))),I30&amp;"Por favor no seleccionar los criterios de impacto",J17)</f>
        <v>0</v>
      </c>
      <c r="L17" s="413"/>
      <c r="M17" s="411"/>
      <c r="N17" s="418"/>
      <c r="O17" s="114"/>
      <c r="P17" s="114">
        <v>5</v>
      </c>
      <c r="Q17" s="115"/>
      <c r="R17" s="116" t="str">
        <f t="shared" si="5"/>
        <v/>
      </c>
      <c r="S17" s="117"/>
      <c r="T17" s="117"/>
      <c r="U17" s="118" t="str">
        <f t="shared" si="0"/>
        <v/>
      </c>
      <c r="V17" s="117"/>
      <c r="W17" s="117"/>
      <c r="X17" s="117"/>
      <c r="Y17" s="119" t="str">
        <f t="shared" si="6"/>
        <v/>
      </c>
      <c r="Z17" s="120" t="str">
        <f t="shared" si="1"/>
        <v/>
      </c>
      <c r="AA17" s="121" t="str">
        <f t="shared" si="2"/>
        <v/>
      </c>
      <c r="AB17" s="120" t="str">
        <f t="shared" si="3"/>
        <v/>
      </c>
      <c r="AC17" s="121" t="str">
        <f t="shared" si="7"/>
        <v/>
      </c>
      <c r="AD17" s="122" t="str">
        <f t="shared" si="4"/>
        <v/>
      </c>
      <c r="AE17" s="123"/>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row>
    <row r="18" spans="1:61" x14ac:dyDescent="0.25">
      <c r="A18" s="405"/>
      <c r="B18" s="392"/>
      <c r="C18" s="392"/>
      <c r="D18" s="392"/>
      <c r="E18" s="407"/>
      <c r="F18" s="392"/>
      <c r="G18" s="415"/>
      <c r="H18" s="413"/>
      <c r="I18" s="411"/>
      <c r="J18" s="409"/>
      <c r="K18" s="411"/>
      <c r="L18" s="413"/>
      <c r="M18" s="411"/>
      <c r="N18" s="418"/>
      <c r="O18" s="114"/>
      <c r="P18" s="114">
        <v>6</v>
      </c>
      <c r="Q18" s="115"/>
      <c r="R18" s="116" t="str">
        <f t="shared" ref="R18" si="8">IF(OR(S18="Preventivo",S18="Detectivo"),"Probabilidad",IF(S18="Correctivo","Impacto",""))</f>
        <v/>
      </c>
      <c r="S18" s="117"/>
      <c r="T18" s="117"/>
      <c r="U18" s="118" t="str">
        <f t="shared" ref="U18" si="9">IF(AND(S18="Preventivo",T18="Automático"),"50%",IF(AND(S18="Preventivo",T18="Manual"),"40%",IF(AND(S18="Detectivo",T18="Automático"),"40%",IF(AND(S18="Detectivo",T18="Manual"),"30%",IF(AND(S18="Correctivo",T18="Automático"),"35%",IF(AND(S18="Correctivo",T18="Manual"),"25%",""))))))</f>
        <v/>
      </c>
      <c r="V18" s="117"/>
      <c r="W18" s="117"/>
      <c r="X18" s="117"/>
      <c r="Y18" s="119" t="str">
        <f t="shared" ref="Y18" si="10">IFERROR(IF(AND(R17="Probabilidad",R18="Probabilidad"),(AA17-(+AA17*U18)),IF(AND(R17="Impacto",R18="Probabilidad"),(AA16-(+AA16*U18)),IF(R18="Impacto",AA17,""))),"")</f>
        <v/>
      </c>
      <c r="Z18" s="120" t="str">
        <f t="shared" ref="Z18" si="11">IFERROR(IF(Y18="","",IF(Y18&lt;=0.2,"Muy Baja",IF(Y18&lt;=0.4,"Baja",IF(Y18&lt;=0.6,"Media",IF(Y18&lt;=0.8,"Alta","Muy Alta"))))),"")</f>
        <v/>
      </c>
      <c r="AA18" s="121" t="str">
        <f t="shared" ref="AA18" si="12">+Y18</f>
        <v/>
      </c>
      <c r="AB18" s="120" t="str">
        <f t="shared" ref="AB18" si="13">IFERROR(IF(AC18="","",IF(AC18&lt;=0.2,"Leve",IF(AC18&lt;=0.4,"Menor",IF(AC18&lt;=0.6,"Moderado",IF(AC18&lt;=0.8,"Mayor","Catastrófico"))))),"")</f>
        <v/>
      </c>
      <c r="AC18" s="121" t="str">
        <f t="shared" ref="AC18" si="14">IFERROR(IF(AND(R17="Impacto",R18="Impacto"),(AC17-(+AC17*U18)),IF(AND(R17="Probabilidad",R18="Impacto"),(AC16-(+AC16*U18)),IF(R18="Probabilidad",AC17,""))),"")</f>
        <v/>
      </c>
      <c r="AD18" s="122" t="str">
        <f t="shared" ref="AD18" si="15">IFERROR(IF(OR(AND(Z18="Muy Baja",AB18="Leve"),AND(Z18="Muy Baja",AB18="Menor"),AND(Z18="Baja",AB18="Leve")),"Bajo",IF(OR(AND(Z18="Muy baja",AB18="Moderado"),AND(Z18="Baja",AB18="Menor"),AND(Z18="Baja",AB18="Moderado"),AND(Z18="Media",AB18="Leve"),AND(Z18="Media",AB18="Menor"),AND(Z18="Media",AB18="Moderado"),AND(Z18="Alta",AB18="Leve"),AND(Z18="Alta",AB18="Menor")),"Moderado",IF(OR(AND(Z18="Muy Baja",AB18="Mayor"),AND(Z18="Baja",AB18="Mayor"),AND(Z18="Media",AB18="Mayor"),AND(Z18="Alta",AB18="Moderado"),AND(Z18="Alta",AB18="Mayor"),AND(Z18="Muy Alta",AB18="Leve"),AND(Z18="Muy Alta",AB18="Menor"),AND(Z18="Muy Alta",AB18="Moderado"),AND(Z18="Muy Alta",AB18="Mayor")),"Alto",IF(OR(AND(Z18="Muy Baja",AB18="Catastrófico"),AND(Z18="Baja",AB18="Catastrófico"),AND(Z18="Media",AB18="Catastrófico"),AND(Z18="Alta",AB18="Catastrófico"),AND(Z18="Muy Alta",AB18="Catastrófico")),"Extremo","")))),"")</f>
        <v/>
      </c>
      <c r="AE18" s="123"/>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row>
    <row r="19" spans="1:61" x14ac:dyDescent="0.25">
      <c r="A19" s="404">
        <v>2</v>
      </c>
      <c r="B19" s="391"/>
      <c r="C19" s="391"/>
      <c r="D19" s="391"/>
      <c r="E19" s="394"/>
      <c r="F19" s="391"/>
      <c r="G19" s="414"/>
      <c r="H19" s="412" t="str">
        <f>IF(G19&lt;=0,"",IF(G19&lt;=2,"Muy Baja",IF(G19&lt;=24,"Baja",IF(G19&lt;=500,"Media",IF(G19&lt;=5000,"Alta","Muy Alta")))))</f>
        <v/>
      </c>
      <c r="I19" s="410" t="str">
        <f>IF(H19="","",IF(H19="Muy Baja",0.2,IF(H19="Baja",0.4,IF(H19="Media",0.6,IF(H19="Alta",0.8,IF(H19="Muy Alta",1,))))))</f>
        <v/>
      </c>
      <c r="J19" s="408"/>
      <c r="K19" s="410">
        <f>IF(NOT(ISERROR(MATCH(J19,'Tabla Impacto'!$B$221:$B$223,0))),'Tabla Impacto'!$F$223&amp;"Por favor no seleccionar los criterios de impacto(Afectación Económica o presupuestal y Pérdida Reputacional)",J19)</f>
        <v>0</v>
      </c>
      <c r="L19" s="412" t="str">
        <f>IF(OR(K19='Tabla Impacto'!$C$11,K19='Tabla Impacto'!$D$11),"Leve",IF(OR(K19='Tabla Impacto'!$C$12,K19='Tabla Impacto'!$D$12),"Menor",IF(OR(K19='Tabla Impacto'!$C$13,K19='Tabla Impacto'!$D$13),"Moderado",IF(OR(K19='Tabla Impacto'!$C$14,K19='Tabla Impacto'!$D$14),"Mayor",IF(OR(K19='Tabla Impacto'!$C$15,K19='Tabla Impacto'!$D$15),"Catastrófico","")))))</f>
        <v/>
      </c>
      <c r="M19" s="410" t="str">
        <f>IF(L19="","",IF(L19="Leve",0.2,IF(L19="Menor",0.4,IF(L19="Moderado",0.6,IF(L19="Mayor",0.8,IF(L19="Catastrófico",1,))))))</f>
        <v/>
      </c>
      <c r="N19" s="41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14"/>
      <c r="P19" s="114">
        <v>1</v>
      </c>
      <c r="Q19" s="115"/>
      <c r="R19" s="116" t="str">
        <f>IF(OR(S19="Preventivo",S19="Detectivo"),"Probabilidad",IF(S19="Correctivo","Impacto",""))</f>
        <v/>
      </c>
      <c r="S19" s="117"/>
      <c r="T19" s="117"/>
      <c r="U19" s="118" t="str">
        <f>IF(AND(S19="Preventivo",T19="Automático"),"50%",IF(AND(S19="Preventivo",T19="Manual"),"40%",IF(AND(S19="Detectivo",T19="Automático"),"40%",IF(AND(S19="Detectivo",T19="Manual"),"30%",IF(AND(S19="Correctivo",T19="Automático"),"35%",IF(AND(S19="Correctivo",T19="Manual"),"25%",""))))))</f>
        <v/>
      </c>
      <c r="V19" s="117"/>
      <c r="W19" s="117"/>
      <c r="X19" s="117"/>
      <c r="Y19" s="119" t="str">
        <f>IFERROR(IF(R19="Probabilidad",(I19-(+I19*U19)),IF(R19="Impacto",I19,"")),"")</f>
        <v/>
      </c>
      <c r="Z19" s="120" t="str">
        <f>IFERROR(IF(Y19="","",IF(Y19&lt;=0.2,"Muy Baja",IF(Y19&lt;=0.4,"Baja",IF(Y19&lt;=0.6,"Media",IF(Y19&lt;=0.8,"Alta","Muy Alta"))))),"")</f>
        <v/>
      </c>
      <c r="AA19" s="121" t="str">
        <f>+Y19</f>
        <v/>
      </c>
      <c r="AB19" s="120" t="str">
        <f>IFERROR(IF(AC19="","",IF(AC19&lt;=0.2,"Leve",IF(AC19&lt;=0.4,"Menor",IF(AC19&lt;=0.6,"Moderado",IF(AC19&lt;=0.8,"Mayor","Catastrófico"))))),"")</f>
        <v/>
      </c>
      <c r="AC19" s="121" t="str">
        <f>IFERROR(IF(R19="Impacto",(M19-(+M19*U19)),IF(R19="Probabilidad",M19,"")),"")</f>
        <v/>
      </c>
      <c r="AD19" s="122" t="str">
        <f>IFERROR(IF(OR(AND(Z19="Muy Baja",AB19="Leve"),AND(Z19="Muy Baja",AB19="Menor"),AND(Z19="Baja",AB19="Leve")),"Bajo",IF(OR(AND(Z19="Muy baja",AB19="Moderado"),AND(Z19="Baja",AB19="Menor"),AND(Z19="Baja",AB19="Moderado"),AND(Z19="Media",AB19="Leve"),AND(Z19="Media",AB19="Menor"),AND(Z19="Media",AB19="Moderado"),AND(Z19="Alta",AB19="Leve"),AND(Z19="Alta",AB19="Menor")),"Moderado",IF(OR(AND(Z19="Muy Baja",AB19="Mayor"),AND(Z19="Baja",AB19="Mayor"),AND(Z19="Media",AB19="Mayor"),AND(Z19="Alta",AB19="Moderado"),AND(Z19="Alta",AB19="Mayor"),AND(Z19="Muy Alta",AB19="Leve"),AND(Z19="Muy Alta",AB19="Menor"),AND(Z19="Muy Alta",AB19="Moderado"),AND(Z19="Muy Alta",AB19="Mayor")),"Alto",IF(OR(AND(Z19="Muy Baja",AB19="Catastrófico"),AND(Z19="Baja",AB19="Catastrófico"),AND(Z19="Media",AB19="Catastrófico"),AND(Z19="Alta",AB19="Catastrófico"),AND(Z19="Muy Alta",AB19="Catastrófico")),"Extremo","")))),"")</f>
        <v/>
      </c>
      <c r="AE19" s="123"/>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row>
    <row r="20" spans="1:61" x14ac:dyDescent="0.25">
      <c r="A20" s="405"/>
      <c r="B20" s="392"/>
      <c r="C20" s="392"/>
      <c r="D20" s="392"/>
      <c r="E20" s="395"/>
      <c r="F20" s="392"/>
      <c r="G20" s="415"/>
      <c r="H20" s="413"/>
      <c r="I20" s="411"/>
      <c r="J20" s="409"/>
      <c r="K20" s="411">
        <f>IF(NOT(ISERROR(MATCH(J20,_xlfn.ANCHORARRAY(E31),0))),I33&amp;"Por favor no seleccionar los criterios de impacto",J20)</f>
        <v>0</v>
      </c>
      <c r="L20" s="413"/>
      <c r="M20" s="411"/>
      <c r="N20" s="418"/>
      <c r="O20" s="114"/>
      <c r="P20" s="114">
        <v>2</v>
      </c>
      <c r="Q20" s="115"/>
      <c r="R20" s="116" t="str">
        <f>IF(OR(S20="Preventivo",S20="Detectivo"),"Probabilidad",IF(S20="Correctivo","Impacto",""))</f>
        <v/>
      </c>
      <c r="S20" s="117"/>
      <c r="T20" s="117"/>
      <c r="U20" s="118" t="str">
        <f t="shared" ref="U20:U24" si="16">IF(AND(S20="Preventivo",T20="Automático"),"50%",IF(AND(S20="Preventivo",T20="Manual"),"40%",IF(AND(S20="Detectivo",T20="Automático"),"40%",IF(AND(S20="Detectivo",T20="Manual"),"30%",IF(AND(S20="Correctivo",T20="Automático"),"35%",IF(AND(S20="Correctivo",T20="Manual"),"25%",""))))))</f>
        <v/>
      </c>
      <c r="V20" s="117"/>
      <c r="W20" s="117"/>
      <c r="X20" s="117"/>
      <c r="Y20" s="119" t="str">
        <f>IFERROR(IF(AND(R19="Probabilidad",R20="Probabilidad"),(AA19-(+AA19*U20)),IF(R20="Probabilidad",(I19-(+I19*U20)),IF(R20="Impacto",AA19,""))),"")</f>
        <v/>
      </c>
      <c r="Z20" s="120" t="str">
        <f t="shared" si="1"/>
        <v/>
      </c>
      <c r="AA20" s="121" t="str">
        <f t="shared" ref="AA20:AA24" si="17">+Y20</f>
        <v/>
      </c>
      <c r="AB20" s="120" t="str">
        <f t="shared" si="3"/>
        <v/>
      </c>
      <c r="AC20" s="121" t="str">
        <f>IFERROR(IF(AND(R19="Impacto",R20="Impacto"),(AC19-(+AC19*U20)),IF(R20="Impacto",(M19-(+M19*U20)),IF(R20="Probabilidad",AC19,""))),"")</f>
        <v/>
      </c>
      <c r="AD20" s="122" t="str">
        <f t="shared" ref="AD20:AD21" si="18">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
      </c>
      <c r="AE20" s="123"/>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row>
    <row r="21" spans="1:61" x14ac:dyDescent="0.25">
      <c r="A21" s="405"/>
      <c r="B21" s="392"/>
      <c r="C21" s="392"/>
      <c r="D21" s="392"/>
      <c r="E21" s="395"/>
      <c r="F21" s="392"/>
      <c r="G21" s="415"/>
      <c r="H21" s="413"/>
      <c r="I21" s="411"/>
      <c r="J21" s="409"/>
      <c r="K21" s="411">
        <f>IF(NOT(ISERROR(MATCH(J21,_xlfn.ANCHORARRAY(E32),0))),I34&amp;"Por favor no seleccionar los criterios de impacto",J21)</f>
        <v>0</v>
      </c>
      <c r="L21" s="413"/>
      <c r="M21" s="411"/>
      <c r="N21" s="418"/>
      <c r="O21" s="114"/>
      <c r="P21" s="114">
        <v>3</v>
      </c>
      <c r="Q21" s="115"/>
      <c r="R21" s="116" t="str">
        <f>IF(OR(S21="Preventivo",S21="Detectivo"),"Probabilidad",IF(S21="Correctivo","Impacto",""))</f>
        <v/>
      </c>
      <c r="S21" s="117"/>
      <c r="T21" s="117"/>
      <c r="U21" s="118" t="str">
        <f t="shared" si="16"/>
        <v/>
      </c>
      <c r="V21" s="117"/>
      <c r="W21" s="117"/>
      <c r="X21" s="117"/>
      <c r="Y21" s="119" t="str">
        <f>IFERROR(IF(AND(R20="Probabilidad",R21="Probabilidad"),(AA20-(+AA20*U21)),IF(AND(R20="Impacto",R21="Probabilidad"),(AA19-(+AA19*U21)),IF(R21="Impacto",AA20,""))),"")</f>
        <v/>
      </c>
      <c r="Z21" s="120" t="str">
        <f t="shared" si="1"/>
        <v/>
      </c>
      <c r="AA21" s="121" t="str">
        <f t="shared" si="17"/>
        <v/>
      </c>
      <c r="AB21" s="120" t="str">
        <f t="shared" si="3"/>
        <v/>
      </c>
      <c r="AC21" s="121" t="str">
        <f>IFERROR(IF(AND(R20="Impacto",R21="Impacto"),(AC20-(+AC20*U21)),IF(AND(R20="Probabilidad",R21="Impacto"),(AC19-(+AC19*U21)),IF(R21="Probabilidad",AC20,""))),"")</f>
        <v/>
      </c>
      <c r="AD21" s="122" t="str">
        <f t="shared" si="18"/>
        <v/>
      </c>
      <c r="AE21" s="123"/>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row>
    <row r="22" spans="1:61" x14ac:dyDescent="0.25">
      <c r="A22" s="405"/>
      <c r="B22" s="392"/>
      <c r="C22" s="392"/>
      <c r="D22" s="392"/>
      <c r="E22" s="395"/>
      <c r="F22" s="392"/>
      <c r="G22" s="415"/>
      <c r="H22" s="413"/>
      <c r="I22" s="411"/>
      <c r="J22" s="409"/>
      <c r="K22" s="411">
        <f>IF(NOT(ISERROR(MATCH(J22,_xlfn.ANCHORARRAY(E33),0))),I35&amp;"Por favor no seleccionar los criterios de impacto",J22)</f>
        <v>0</v>
      </c>
      <c r="L22" s="413"/>
      <c r="M22" s="411"/>
      <c r="N22" s="418"/>
      <c r="O22" s="114"/>
      <c r="P22" s="114">
        <v>4</v>
      </c>
      <c r="Q22" s="115"/>
      <c r="R22" s="116" t="str">
        <f t="shared" ref="R22:R24" si="19">IF(OR(S22="Preventivo",S22="Detectivo"),"Probabilidad",IF(S22="Correctivo","Impacto",""))</f>
        <v/>
      </c>
      <c r="S22" s="117"/>
      <c r="T22" s="117"/>
      <c r="U22" s="118" t="str">
        <f t="shared" si="16"/>
        <v/>
      </c>
      <c r="V22" s="117"/>
      <c r="W22" s="117"/>
      <c r="X22" s="117"/>
      <c r="Y22" s="119" t="str">
        <f t="shared" ref="Y22:Y24" si="20">IFERROR(IF(AND(R21="Probabilidad",R22="Probabilidad"),(AA21-(+AA21*U22)),IF(AND(R21="Impacto",R22="Probabilidad"),(AA20-(+AA20*U22)),IF(R22="Impacto",AA21,""))),"")</f>
        <v/>
      </c>
      <c r="Z22" s="120" t="str">
        <f t="shared" si="1"/>
        <v/>
      </c>
      <c r="AA22" s="121" t="str">
        <f t="shared" si="17"/>
        <v/>
      </c>
      <c r="AB22" s="120" t="str">
        <f t="shared" si="3"/>
        <v/>
      </c>
      <c r="AC22" s="121" t="str">
        <f t="shared" ref="AC22:AC24" si="21">IFERROR(IF(AND(R21="Impacto",R22="Impacto"),(AC21-(+AC21*U22)),IF(AND(R21="Probabilidad",R22="Impacto"),(AC20-(+AC20*U22)),IF(R22="Probabilidad",AC21,""))),"")</f>
        <v/>
      </c>
      <c r="AD22" s="122" t="str">
        <f>IFERROR(IF(OR(AND(Z22="Muy Baja",AB22="Leve"),AND(Z22="Muy Baja",AB22="Menor"),AND(Z22="Baja",AB22="Leve")),"Bajo",IF(OR(AND(Z22="Muy baja",AB22="Moderado"),AND(Z22="Baja",AB22="Menor"),AND(Z22="Baja",AB22="Moderado"),AND(Z22="Media",AB22="Leve"),AND(Z22="Media",AB22="Menor"),AND(Z22="Media",AB22="Moderado"),AND(Z22="Alta",AB22="Leve"),AND(Z22="Alta",AB22="Menor")),"Moderado",IF(OR(AND(Z22="Muy Baja",AB22="Mayor"),AND(Z22="Baja",AB22="Mayor"),AND(Z22="Media",AB22="Mayor"),AND(Z22="Alta",AB22="Moderado"),AND(Z22="Alta",AB22="Mayor"),AND(Z22="Muy Alta",AB22="Leve"),AND(Z22="Muy Alta",AB22="Menor"),AND(Z22="Muy Alta",AB22="Moderado"),AND(Z22="Muy Alta",AB22="Mayor")),"Alto",IF(OR(AND(Z22="Muy Baja",AB22="Catastrófico"),AND(Z22="Baja",AB22="Catastrófico"),AND(Z22="Media",AB22="Catastrófico"),AND(Z22="Alta",AB22="Catastrófico"),AND(Z22="Muy Alta",AB22="Catastrófico")),"Extremo","")))),"")</f>
        <v/>
      </c>
      <c r="AE22" s="123"/>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row>
    <row r="23" spans="1:61" x14ac:dyDescent="0.25">
      <c r="A23" s="405"/>
      <c r="B23" s="392"/>
      <c r="C23" s="392"/>
      <c r="D23" s="392"/>
      <c r="E23" s="395"/>
      <c r="F23" s="392"/>
      <c r="G23" s="415"/>
      <c r="H23" s="413"/>
      <c r="I23" s="411"/>
      <c r="J23" s="409"/>
      <c r="K23" s="411">
        <f>IF(NOT(ISERROR(MATCH(J23,_xlfn.ANCHORARRAY(E34),0))),I36&amp;"Por favor no seleccionar los criterios de impacto",J23)</f>
        <v>0</v>
      </c>
      <c r="L23" s="413"/>
      <c r="M23" s="411"/>
      <c r="N23" s="418"/>
      <c r="O23" s="114"/>
      <c r="P23" s="114">
        <v>5</v>
      </c>
      <c r="Q23" s="115"/>
      <c r="R23" s="116" t="str">
        <f t="shared" si="19"/>
        <v/>
      </c>
      <c r="S23" s="117"/>
      <c r="T23" s="117"/>
      <c r="U23" s="118" t="str">
        <f t="shared" si="16"/>
        <v/>
      </c>
      <c r="V23" s="117"/>
      <c r="W23" s="117"/>
      <c r="X23" s="117"/>
      <c r="Y23" s="119" t="str">
        <f t="shared" si="20"/>
        <v/>
      </c>
      <c r="Z23" s="120" t="str">
        <f t="shared" si="1"/>
        <v/>
      </c>
      <c r="AA23" s="121" t="str">
        <f t="shared" si="17"/>
        <v/>
      </c>
      <c r="AB23" s="120" t="str">
        <f t="shared" si="3"/>
        <v/>
      </c>
      <c r="AC23" s="121" t="str">
        <f t="shared" si="21"/>
        <v/>
      </c>
      <c r="AD23" s="122" t="str">
        <f t="shared" ref="AD23:AD24" si="22">IFERROR(IF(OR(AND(Z23="Muy Baja",AB23="Leve"),AND(Z23="Muy Baja",AB23="Menor"),AND(Z23="Baja",AB23="Leve")),"Bajo",IF(OR(AND(Z23="Muy baja",AB23="Moderado"),AND(Z23="Baja",AB23="Menor"),AND(Z23="Baja",AB23="Moderado"),AND(Z23="Media",AB23="Leve"),AND(Z23="Media",AB23="Menor"),AND(Z23="Media",AB23="Moderado"),AND(Z23="Alta",AB23="Leve"),AND(Z23="Alta",AB23="Menor")),"Moderado",IF(OR(AND(Z23="Muy Baja",AB23="Mayor"),AND(Z23="Baja",AB23="Mayor"),AND(Z23="Media",AB23="Mayor"),AND(Z23="Alta",AB23="Moderado"),AND(Z23="Alta",AB23="Mayor"),AND(Z23="Muy Alta",AB23="Leve"),AND(Z23="Muy Alta",AB23="Menor"),AND(Z23="Muy Alta",AB23="Moderado"),AND(Z23="Muy Alta",AB23="Mayor")),"Alto",IF(OR(AND(Z23="Muy Baja",AB23="Catastrófico"),AND(Z23="Baja",AB23="Catastrófico"),AND(Z23="Media",AB23="Catastrófico"),AND(Z23="Alta",AB23="Catastrófico"),AND(Z23="Muy Alta",AB23="Catastrófico")),"Extremo","")))),"")</f>
        <v/>
      </c>
      <c r="AE23" s="123"/>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row>
    <row r="24" spans="1:61" x14ac:dyDescent="0.25">
      <c r="A24" s="416"/>
      <c r="B24" s="393"/>
      <c r="C24" s="393"/>
      <c r="D24" s="393"/>
      <c r="E24" s="396"/>
      <c r="F24" s="393"/>
      <c r="G24" s="420"/>
      <c r="H24" s="421"/>
      <c r="I24" s="422"/>
      <c r="J24" s="423"/>
      <c r="K24" s="422">
        <f>IF(NOT(ISERROR(MATCH(J24,_xlfn.ANCHORARRAY(E35),0))),I37&amp;"Por favor no seleccionar los criterios de impacto",J24)</f>
        <v>0</v>
      </c>
      <c r="L24" s="421"/>
      <c r="M24" s="422"/>
      <c r="N24" s="419"/>
      <c r="O24" s="114"/>
      <c r="P24" s="114">
        <v>6</v>
      </c>
      <c r="Q24" s="115"/>
      <c r="R24" s="116" t="str">
        <f t="shared" si="19"/>
        <v/>
      </c>
      <c r="S24" s="117"/>
      <c r="T24" s="117"/>
      <c r="U24" s="118" t="str">
        <f t="shared" si="16"/>
        <v/>
      </c>
      <c r="V24" s="117"/>
      <c r="W24" s="117"/>
      <c r="X24" s="117"/>
      <c r="Y24" s="119" t="str">
        <f t="shared" si="20"/>
        <v/>
      </c>
      <c r="Z24" s="120" t="str">
        <f t="shared" si="1"/>
        <v/>
      </c>
      <c r="AA24" s="121" t="str">
        <f t="shared" si="17"/>
        <v/>
      </c>
      <c r="AB24" s="120" t="str">
        <f t="shared" si="3"/>
        <v/>
      </c>
      <c r="AC24" s="121" t="str">
        <f t="shared" si="21"/>
        <v/>
      </c>
      <c r="AD24" s="122" t="str">
        <f t="shared" si="22"/>
        <v/>
      </c>
      <c r="AE24" s="123"/>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row>
    <row r="25" spans="1:61" x14ac:dyDescent="0.25">
      <c r="A25" s="404">
        <v>3</v>
      </c>
      <c r="B25" s="391"/>
      <c r="C25" s="391"/>
      <c r="D25" s="391"/>
      <c r="E25" s="394"/>
      <c r="F25" s="391"/>
      <c r="G25" s="414"/>
      <c r="H25" s="412" t="str">
        <f>IF(G25&lt;=0,"",IF(G25&lt;=2,"Muy Baja",IF(G25&lt;=24,"Baja",IF(G25&lt;=500,"Media",IF(G25&lt;=5000,"Alta","Muy Alta")))))</f>
        <v/>
      </c>
      <c r="I25" s="410" t="str">
        <f>IF(H25="","",IF(H25="Muy Baja",0.2,IF(H25="Baja",0.4,IF(H25="Media",0.6,IF(H25="Alta",0.8,IF(H25="Muy Alta",1,))))))</f>
        <v/>
      </c>
      <c r="J25" s="408"/>
      <c r="K25" s="410">
        <f>IF(NOT(ISERROR(MATCH(J25,'Tabla Impacto'!$B$221:$B$223,0))),'Tabla Impacto'!$F$223&amp;"Por favor no seleccionar los criterios de impacto(Afectación Económica o presupuestal y Pérdida Reputacional)",J25)</f>
        <v>0</v>
      </c>
      <c r="L25" s="412" t="str">
        <f>IF(OR(K25='Tabla Impacto'!$C$11,K25='Tabla Impacto'!$D$11),"Leve",IF(OR(K25='Tabla Impacto'!$C$12,K25='Tabla Impacto'!$D$12),"Menor",IF(OR(K25='Tabla Impacto'!$C$13,K25='Tabla Impacto'!$D$13),"Moderado",IF(OR(K25='Tabla Impacto'!$C$14,K25='Tabla Impacto'!$D$14),"Mayor",IF(OR(K25='Tabla Impacto'!$C$15,K25='Tabla Impacto'!$D$15),"Catastrófico","")))))</f>
        <v/>
      </c>
      <c r="M25" s="410" t="str">
        <f>IF(L25="","",IF(L25="Leve",0.2,IF(L25="Menor",0.4,IF(L25="Moderado",0.6,IF(L25="Mayor",0.8,IF(L25="Catastrófico",1,))))))</f>
        <v/>
      </c>
      <c r="N25" s="417"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14"/>
      <c r="P25" s="114">
        <v>1</v>
      </c>
      <c r="Q25" s="115"/>
      <c r="R25" s="116" t="str">
        <f>IF(OR(S25="Preventivo",S25="Detectivo"),"Probabilidad",IF(S25="Correctivo","Impacto",""))</f>
        <v/>
      </c>
      <c r="S25" s="117"/>
      <c r="T25" s="117"/>
      <c r="U25" s="118" t="str">
        <f>IF(AND(S25="Preventivo",T25="Automático"),"50%",IF(AND(S25="Preventivo",T25="Manual"),"40%",IF(AND(S25="Detectivo",T25="Automático"),"40%",IF(AND(S25="Detectivo",T25="Manual"),"30%",IF(AND(S25="Correctivo",T25="Automático"),"35%",IF(AND(S25="Correctivo",T25="Manual"),"25%",""))))))</f>
        <v/>
      </c>
      <c r="V25" s="117"/>
      <c r="W25" s="117"/>
      <c r="X25" s="117"/>
      <c r="Y25" s="119" t="str">
        <f>IFERROR(IF(R25="Probabilidad",(I25-(+I25*U25)),IF(R25="Impacto",I25,"")),"")</f>
        <v/>
      </c>
      <c r="Z25" s="120" t="str">
        <f>IFERROR(IF(Y25="","",IF(Y25&lt;=0.2,"Muy Baja",IF(Y25&lt;=0.4,"Baja",IF(Y25&lt;=0.6,"Media",IF(Y25&lt;=0.8,"Alta","Muy Alta"))))),"")</f>
        <v/>
      </c>
      <c r="AA25" s="121" t="str">
        <f>+Y25</f>
        <v/>
      </c>
      <c r="AB25" s="120" t="str">
        <f>IFERROR(IF(AC25="","",IF(AC25&lt;=0.2,"Leve",IF(AC25&lt;=0.4,"Menor",IF(AC25&lt;=0.6,"Moderado",IF(AC25&lt;=0.8,"Mayor","Catastrófico"))))),"")</f>
        <v/>
      </c>
      <c r="AC25" s="121" t="str">
        <f>IFERROR(IF(R25="Impacto",(M25-(+M25*U25)),IF(R25="Probabilidad",M25,"")),"")</f>
        <v/>
      </c>
      <c r="AD25" s="122" t="str">
        <f>IFERROR(IF(OR(AND(Z25="Muy Baja",AB25="Leve"),AND(Z25="Muy Baja",AB25="Menor"),AND(Z25="Baja",AB25="Leve")),"Bajo",IF(OR(AND(Z25="Muy baja",AB25="Moderado"),AND(Z25="Baja",AB25="Menor"),AND(Z25="Baja",AB25="Moderado"),AND(Z25="Media",AB25="Leve"),AND(Z25="Media",AB25="Menor"),AND(Z25="Media",AB25="Moderado"),AND(Z25="Alta",AB25="Leve"),AND(Z25="Alta",AB25="Menor")),"Moderado",IF(OR(AND(Z25="Muy Baja",AB25="Mayor"),AND(Z25="Baja",AB25="Mayor"),AND(Z25="Media",AB25="Mayor"),AND(Z25="Alta",AB25="Moderado"),AND(Z25="Alta",AB25="Mayor"),AND(Z25="Muy Alta",AB25="Leve"),AND(Z25="Muy Alta",AB25="Menor"),AND(Z25="Muy Alta",AB25="Moderado"),AND(Z25="Muy Alta",AB25="Mayor")),"Alto",IF(OR(AND(Z25="Muy Baja",AB25="Catastrófico"),AND(Z25="Baja",AB25="Catastrófico"),AND(Z25="Media",AB25="Catastrófico"),AND(Z25="Alta",AB25="Catastrófico"),AND(Z25="Muy Alta",AB25="Catastrófico")),"Extremo","")))),"")</f>
        <v/>
      </c>
      <c r="AE25" s="123"/>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1" x14ac:dyDescent="0.25">
      <c r="A26" s="405"/>
      <c r="B26" s="392"/>
      <c r="C26" s="392"/>
      <c r="D26" s="392"/>
      <c r="E26" s="395"/>
      <c r="F26" s="392"/>
      <c r="G26" s="415"/>
      <c r="H26" s="413"/>
      <c r="I26" s="411"/>
      <c r="J26" s="409"/>
      <c r="K26" s="411">
        <f>IF(NOT(ISERROR(MATCH(J26,_xlfn.ANCHORARRAY(E37),0))),I39&amp;"Por favor no seleccionar los criterios de impacto",J26)</f>
        <v>0</v>
      </c>
      <c r="L26" s="413"/>
      <c r="M26" s="411"/>
      <c r="N26" s="418"/>
      <c r="O26" s="114"/>
      <c r="P26" s="114">
        <v>2</v>
      </c>
      <c r="Q26" s="115"/>
      <c r="R26" s="116" t="str">
        <f>IF(OR(S26="Preventivo",S26="Detectivo"),"Probabilidad",IF(S26="Correctivo","Impacto",""))</f>
        <v/>
      </c>
      <c r="S26" s="117"/>
      <c r="T26" s="117"/>
      <c r="U26" s="118" t="str">
        <f t="shared" ref="U26:U30" si="23">IF(AND(S26="Preventivo",T26="Automático"),"50%",IF(AND(S26="Preventivo",T26="Manual"),"40%",IF(AND(S26="Detectivo",T26="Automático"),"40%",IF(AND(S26="Detectivo",T26="Manual"),"30%",IF(AND(S26="Correctivo",T26="Automático"),"35%",IF(AND(S26="Correctivo",T26="Manual"),"25%",""))))))</f>
        <v/>
      </c>
      <c r="V26" s="117"/>
      <c r="W26" s="117"/>
      <c r="X26" s="117"/>
      <c r="Y26" s="119" t="str">
        <f>IFERROR(IF(AND(R25="Probabilidad",R26="Probabilidad"),(AA25-(+AA25*U26)),IF(R26="Probabilidad",(I25-(+I25*U26)),IF(R26="Impacto",AA25,""))),"")</f>
        <v/>
      </c>
      <c r="Z26" s="120" t="str">
        <f t="shared" si="1"/>
        <v/>
      </c>
      <c r="AA26" s="121" t="str">
        <f t="shared" ref="AA26:AA30" si="24">+Y26</f>
        <v/>
      </c>
      <c r="AB26" s="120" t="str">
        <f t="shared" si="3"/>
        <v/>
      </c>
      <c r="AC26" s="121" t="str">
        <f>IFERROR(IF(AND(R25="Impacto",R26="Impacto"),(AC25-(+AC25*U26)),IF(R26="Impacto",(M25-(+M25*U26)),IF(R26="Probabilidad",AC25,""))),"")</f>
        <v/>
      </c>
      <c r="AD26" s="122" t="str">
        <f t="shared" ref="AD26:AD27" si="25">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
      </c>
      <c r="AE26" s="123"/>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row>
    <row r="27" spans="1:61" x14ac:dyDescent="0.25">
      <c r="A27" s="405"/>
      <c r="B27" s="392"/>
      <c r="C27" s="392"/>
      <c r="D27" s="392"/>
      <c r="E27" s="395"/>
      <c r="F27" s="392"/>
      <c r="G27" s="415"/>
      <c r="H27" s="413"/>
      <c r="I27" s="411"/>
      <c r="J27" s="409"/>
      <c r="K27" s="411">
        <f>IF(NOT(ISERROR(MATCH(J27,_xlfn.ANCHORARRAY(E38),0))),I40&amp;"Por favor no seleccionar los criterios de impacto",J27)</f>
        <v>0</v>
      </c>
      <c r="L27" s="413"/>
      <c r="M27" s="411"/>
      <c r="N27" s="418"/>
      <c r="O27" s="114"/>
      <c r="P27" s="114">
        <v>3</v>
      </c>
      <c r="Q27" s="124"/>
      <c r="R27" s="116" t="str">
        <f>IF(OR(S27="Preventivo",S27="Detectivo"),"Probabilidad",IF(S27="Correctivo","Impacto",""))</f>
        <v/>
      </c>
      <c r="S27" s="117"/>
      <c r="T27" s="117"/>
      <c r="U27" s="118" t="str">
        <f t="shared" si="23"/>
        <v/>
      </c>
      <c r="V27" s="117"/>
      <c r="W27" s="117"/>
      <c r="X27" s="117"/>
      <c r="Y27" s="119" t="str">
        <f>IFERROR(IF(AND(R26="Probabilidad",R27="Probabilidad"),(AA26-(+AA26*U27)),IF(AND(R26="Impacto",R27="Probabilidad"),(AA25-(+AA25*U27)),IF(R27="Impacto",AA26,""))),"")</f>
        <v/>
      </c>
      <c r="Z27" s="120" t="str">
        <f t="shared" si="1"/>
        <v/>
      </c>
      <c r="AA27" s="121" t="str">
        <f t="shared" si="24"/>
        <v/>
      </c>
      <c r="AB27" s="120" t="str">
        <f t="shared" si="3"/>
        <v/>
      </c>
      <c r="AC27" s="121" t="str">
        <f>IFERROR(IF(AND(R26="Impacto",R27="Impacto"),(AC26-(+AC26*U27)),IF(AND(R26="Probabilidad",R27="Impacto"),(AC25-(+AC25*U27)),IF(R27="Probabilidad",AC26,""))),"")</f>
        <v/>
      </c>
      <c r="AD27" s="122" t="str">
        <f t="shared" si="25"/>
        <v/>
      </c>
      <c r="AE27" s="123"/>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row>
    <row r="28" spans="1:61" x14ac:dyDescent="0.25">
      <c r="A28" s="405"/>
      <c r="B28" s="392"/>
      <c r="C28" s="392"/>
      <c r="D28" s="392"/>
      <c r="E28" s="395"/>
      <c r="F28" s="392"/>
      <c r="G28" s="415"/>
      <c r="H28" s="413"/>
      <c r="I28" s="411"/>
      <c r="J28" s="409"/>
      <c r="K28" s="411">
        <f>IF(NOT(ISERROR(MATCH(J28,_xlfn.ANCHORARRAY(E39),0))),I41&amp;"Por favor no seleccionar los criterios de impacto",J28)</f>
        <v>0</v>
      </c>
      <c r="L28" s="413"/>
      <c r="M28" s="411"/>
      <c r="N28" s="418"/>
      <c r="O28" s="114"/>
      <c r="P28" s="114">
        <v>4</v>
      </c>
      <c r="Q28" s="115"/>
      <c r="R28" s="116" t="str">
        <f t="shared" ref="R28:R30" si="26">IF(OR(S28="Preventivo",S28="Detectivo"),"Probabilidad",IF(S28="Correctivo","Impacto",""))</f>
        <v/>
      </c>
      <c r="S28" s="117"/>
      <c r="T28" s="117"/>
      <c r="U28" s="118" t="str">
        <f t="shared" si="23"/>
        <v/>
      </c>
      <c r="V28" s="117"/>
      <c r="W28" s="117"/>
      <c r="X28" s="117"/>
      <c r="Y28" s="119" t="str">
        <f t="shared" ref="Y28:Y30" si="27">IFERROR(IF(AND(R27="Probabilidad",R28="Probabilidad"),(AA27-(+AA27*U28)),IF(AND(R27="Impacto",R28="Probabilidad"),(AA26-(+AA26*U28)),IF(R28="Impacto",AA27,""))),"")</f>
        <v/>
      </c>
      <c r="Z28" s="120" t="str">
        <f t="shared" si="1"/>
        <v/>
      </c>
      <c r="AA28" s="121" t="str">
        <f t="shared" si="24"/>
        <v/>
      </c>
      <c r="AB28" s="120" t="str">
        <f t="shared" si="3"/>
        <v/>
      </c>
      <c r="AC28" s="121" t="str">
        <f t="shared" ref="AC28:AC30" si="28">IFERROR(IF(AND(R27="Impacto",R28="Impacto"),(AC27-(+AC27*U28)),IF(AND(R27="Probabilidad",R28="Impacto"),(AC26-(+AC26*U28)),IF(R28="Probabilidad",AC27,""))),"")</f>
        <v/>
      </c>
      <c r="AD28" s="122" t="str">
        <f>IFERROR(IF(OR(AND(Z28="Muy Baja",AB28="Leve"),AND(Z28="Muy Baja",AB28="Menor"),AND(Z28="Baja",AB28="Leve")),"Bajo",IF(OR(AND(Z28="Muy baja",AB28="Moderado"),AND(Z28="Baja",AB28="Menor"),AND(Z28="Baja",AB28="Moderado"),AND(Z28="Media",AB28="Leve"),AND(Z28="Media",AB28="Menor"),AND(Z28="Media",AB28="Moderado"),AND(Z28="Alta",AB28="Leve"),AND(Z28="Alta",AB28="Menor")),"Moderado",IF(OR(AND(Z28="Muy Baja",AB28="Mayor"),AND(Z28="Baja",AB28="Mayor"),AND(Z28="Media",AB28="Mayor"),AND(Z28="Alta",AB28="Moderado"),AND(Z28="Alta",AB28="Mayor"),AND(Z28="Muy Alta",AB28="Leve"),AND(Z28="Muy Alta",AB28="Menor"),AND(Z28="Muy Alta",AB28="Moderado"),AND(Z28="Muy Alta",AB28="Mayor")),"Alto",IF(OR(AND(Z28="Muy Baja",AB28="Catastrófico"),AND(Z28="Baja",AB28="Catastrófico"),AND(Z28="Media",AB28="Catastrófico"),AND(Z28="Alta",AB28="Catastrófico"),AND(Z28="Muy Alta",AB28="Catastrófico")),"Extremo","")))),"")</f>
        <v/>
      </c>
      <c r="AE28" s="123"/>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row>
    <row r="29" spans="1:61" x14ac:dyDescent="0.25">
      <c r="A29" s="405"/>
      <c r="B29" s="392"/>
      <c r="C29" s="392"/>
      <c r="D29" s="392"/>
      <c r="E29" s="395"/>
      <c r="F29" s="392"/>
      <c r="G29" s="415"/>
      <c r="H29" s="413"/>
      <c r="I29" s="411"/>
      <c r="J29" s="409"/>
      <c r="K29" s="411">
        <f>IF(NOT(ISERROR(MATCH(J29,_xlfn.ANCHORARRAY(E40),0))),I42&amp;"Por favor no seleccionar los criterios de impacto",J29)</f>
        <v>0</v>
      </c>
      <c r="L29" s="413"/>
      <c r="M29" s="411"/>
      <c r="N29" s="418"/>
      <c r="O29" s="114"/>
      <c r="P29" s="114">
        <v>5</v>
      </c>
      <c r="Q29" s="115"/>
      <c r="R29" s="116" t="str">
        <f t="shared" si="26"/>
        <v/>
      </c>
      <c r="S29" s="117"/>
      <c r="T29" s="117"/>
      <c r="U29" s="118" t="str">
        <f t="shared" si="23"/>
        <v/>
      </c>
      <c r="V29" s="117"/>
      <c r="W29" s="117"/>
      <c r="X29" s="117"/>
      <c r="Y29" s="119" t="str">
        <f t="shared" si="27"/>
        <v/>
      </c>
      <c r="Z29" s="120" t="str">
        <f t="shared" si="1"/>
        <v/>
      </c>
      <c r="AA29" s="121" t="str">
        <f t="shared" si="24"/>
        <v/>
      </c>
      <c r="AB29" s="120" t="str">
        <f t="shared" si="3"/>
        <v/>
      </c>
      <c r="AC29" s="121" t="str">
        <f t="shared" si="28"/>
        <v/>
      </c>
      <c r="AD29" s="122" t="str">
        <f t="shared" ref="AD29:AD30" si="29">IFERROR(IF(OR(AND(Z29="Muy Baja",AB29="Leve"),AND(Z29="Muy Baja",AB29="Menor"),AND(Z29="Baja",AB29="Leve")),"Bajo",IF(OR(AND(Z29="Muy baja",AB29="Moderado"),AND(Z29="Baja",AB29="Menor"),AND(Z29="Baja",AB29="Moderado"),AND(Z29="Media",AB29="Leve"),AND(Z29="Media",AB29="Menor"),AND(Z29="Media",AB29="Moderado"),AND(Z29="Alta",AB29="Leve"),AND(Z29="Alta",AB29="Menor")),"Moderado",IF(OR(AND(Z29="Muy Baja",AB29="Mayor"),AND(Z29="Baja",AB29="Mayor"),AND(Z29="Media",AB29="Mayor"),AND(Z29="Alta",AB29="Moderado"),AND(Z29="Alta",AB29="Mayor"),AND(Z29="Muy Alta",AB29="Leve"),AND(Z29="Muy Alta",AB29="Menor"),AND(Z29="Muy Alta",AB29="Moderado"),AND(Z29="Muy Alta",AB29="Mayor")),"Alto",IF(OR(AND(Z29="Muy Baja",AB29="Catastrófico"),AND(Z29="Baja",AB29="Catastrófico"),AND(Z29="Media",AB29="Catastrófico"),AND(Z29="Alta",AB29="Catastrófico"),AND(Z29="Muy Alta",AB29="Catastrófico")),"Extremo","")))),"")</f>
        <v/>
      </c>
      <c r="AE29" s="123"/>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row>
    <row r="30" spans="1:61" x14ac:dyDescent="0.25">
      <c r="A30" s="416"/>
      <c r="B30" s="393"/>
      <c r="C30" s="393"/>
      <c r="D30" s="393"/>
      <c r="E30" s="396"/>
      <c r="F30" s="393"/>
      <c r="G30" s="420"/>
      <c r="H30" s="421"/>
      <c r="I30" s="422"/>
      <c r="J30" s="423"/>
      <c r="K30" s="422">
        <f>IF(NOT(ISERROR(MATCH(J30,_xlfn.ANCHORARRAY(E41),0))),I43&amp;"Por favor no seleccionar los criterios de impacto",J30)</f>
        <v>0</v>
      </c>
      <c r="L30" s="421"/>
      <c r="M30" s="422"/>
      <c r="N30" s="419"/>
      <c r="O30" s="114"/>
      <c r="P30" s="114">
        <v>6</v>
      </c>
      <c r="Q30" s="115"/>
      <c r="R30" s="116" t="str">
        <f t="shared" si="26"/>
        <v/>
      </c>
      <c r="S30" s="117"/>
      <c r="T30" s="117"/>
      <c r="U30" s="118" t="str">
        <f t="shared" si="23"/>
        <v/>
      </c>
      <c r="V30" s="117"/>
      <c r="W30" s="117"/>
      <c r="X30" s="117"/>
      <c r="Y30" s="119" t="str">
        <f t="shared" si="27"/>
        <v/>
      </c>
      <c r="Z30" s="120" t="str">
        <f t="shared" si="1"/>
        <v/>
      </c>
      <c r="AA30" s="121" t="str">
        <f t="shared" si="24"/>
        <v/>
      </c>
      <c r="AB30" s="120" t="str">
        <f t="shared" si="3"/>
        <v/>
      </c>
      <c r="AC30" s="121" t="str">
        <f t="shared" si="28"/>
        <v/>
      </c>
      <c r="AD30" s="122" t="str">
        <f t="shared" si="29"/>
        <v/>
      </c>
      <c r="AE30" s="123"/>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row>
    <row r="31" spans="1:61" x14ac:dyDescent="0.25">
      <c r="A31" s="404">
        <v>4</v>
      </c>
      <c r="B31" s="391"/>
      <c r="C31" s="391"/>
      <c r="D31" s="391"/>
      <c r="E31" s="394"/>
      <c r="F31" s="391"/>
      <c r="G31" s="414"/>
      <c r="H31" s="412" t="str">
        <f>IF(G31&lt;=0,"",IF(G31&lt;=2,"Muy Baja",IF(G31&lt;=24,"Baja",IF(G31&lt;=500,"Media",IF(G31&lt;=5000,"Alta","Muy Alta")))))</f>
        <v/>
      </c>
      <c r="I31" s="410" t="str">
        <f>IF(H31="","",IF(H31="Muy Baja",0.2,IF(H31="Baja",0.4,IF(H31="Media",0.6,IF(H31="Alta",0.8,IF(H31="Muy Alta",1,))))))</f>
        <v/>
      </c>
      <c r="J31" s="408"/>
      <c r="K31" s="410">
        <f>IF(NOT(ISERROR(MATCH(J31,'Tabla Impacto'!$B$221:$B$223,0))),'Tabla Impacto'!$F$223&amp;"Por favor no seleccionar los criterios de impacto(Afectación Económica o presupuestal y Pérdida Reputacional)",J31)</f>
        <v>0</v>
      </c>
      <c r="L31" s="412" t="str">
        <f>IF(OR(K31='Tabla Impacto'!$C$11,K31='Tabla Impacto'!$D$11),"Leve",IF(OR(K31='Tabla Impacto'!$C$12,K31='Tabla Impacto'!$D$12),"Menor",IF(OR(K31='Tabla Impacto'!$C$13,K31='Tabla Impacto'!$D$13),"Moderado",IF(OR(K31='Tabla Impacto'!$C$14,K31='Tabla Impacto'!$D$14),"Mayor",IF(OR(K31='Tabla Impacto'!$C$15,K31='Tabla Impacto'!$D$15),"Catastrófico","")))))</f>
        <v/>
      </c>
      <c r="M31" s="410" t="str">
        <f>IF(L31="","",IF(L31="Leve",0.2,IF(L31="Menor",0.4,IF(L31="Moderado",0.6,IF(L31="Mayor",0.8,IF(L31="Catastrófico",1,))))))</f>
        <v/>
      </c>
      <c r="N31" s="417"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14"/>
      <c r="P31" s="114">
        <v>1</v>
      </c>
      <c r="Q31" s="115"/>
      <c r="R31" s="116" t="str">
        <f>IF(OR(S31="Preventivo",S31="Detectivo"),"Probabilidad",IF(S31="Correctivo","Impacto",""))</f>
        <v/>
      </c>
      <c r="S31" s="117"/>
      <c r="T31" s="117"/>
      <c r="U31" s="118" t="str">
        <f>IF(AND(S31="Preventivo",T31="Automático"),"50%",IF(AND(S31="Preventivo",T31="Manual"),"40%",IF(AND(S31="Detectivo",T31="Automático"),"40%",IF(AND(S31="Detectivo",T31="Manual"),"30%",IF(AND(S31="Correctivo",T31="Automático"),"35%",IF(AND(S31="Correctivo",T31="Manual"),"25%",""))))))</f>
        <v/>
      </c>
      <c r="V31" s="117"/>
      <c r="W31" s="117"/>
      <c r="X31" s="117"/>
      <c r="Y31" s="119" t="str">
        <f>IFERROR(IF(R31="Probabilidad",(I31-(+I31*U31)),IF(R31="Impacto",I31,"")),"")</f>
        <v/>
      </c>
      <c r="Z31" s="120" t="str">
        <f>IFERROR(IF(Y31="","",IF(Y31&lt;=0.2,"Muy Baja",IF(Y31&lt;=0.4,"Baja",IF(Y31&lt;=0.6,"Media",IF(Y31&lt;=0.8,"Alta","Muy Alta"))))),"")</f>
        <v/>
      </c>
      <c r="AA31" s="121" t="str">
        <f>+Y31</f>
        <v/>
      </c>
      <c r="AB31" s="120" t="str">
        <f>IFERROR(IF(AC31="","",IF(AC31&lt;=0.2,"Leve",IF(AC31&lt;=0.4,"Menor",IF(AC31&lt;=0.6,"Moderado",IF(AC31&lt;=0.8,"Mayor","Catastrófico"))))),"")</f>
        <v/>
      </c>
      <c r="AC31" s="121" t="str">
        <f>IFERROR(IF(R31="Impacto",(M31-(+M31*U31)),IF(R31="Probabilidad",M31,"")),"")</f>
        <v/>
      </c>
      <c r="AD31" s="122" t="str">
        <f>IFERROR(IF(OR(AND(Z31="Muy Baja",AB31="Leve"),AND(Z31="Muy Baja",AB31="Menor"),AND(Z31="Baja",AB31="Leve")),"Bajo",IF(OR(AND(Z31="Muy baja",AB31="Moderado"),AND(Z31="Baja",AB31="Menor"),AND(Z31="Baja",AB31="Moderado"),AND(Z31="Media",AB31="Leve"),AND(Z31="Media",AB31="Menor"),AND(Z31="Media",AB31="Moderado"),AND(Z31="Alta",AB31="Leve"),AND(Z31="Alta",AB31="Menor")),"Moderado",IF(OR(AND(Z31="Muy Baja",AB31="Mayor"),AND(Z31="Baja",AB31="Mayor"),AND(Z31="Media",AB31="Mayor"),AND(Z31="Alta",AB31="Moderado"),AND(Z31="Alta",AB31="Mayor"),AND(Z31="Muy Alta",AB31="Leve"),AND(Z31="Muy Alta",AB31="Menor"),AND(Z31="Muy Alta",AB31="Moderado"),AND(Z31="Muy Alta",AB31="Mayor")),"Alto",IF(OR(AND(Z31="Muy Baja",AB31="Catastrófico"),AND(Z31="Baja",AB31="Catastrófico"),AND(Z31="Media",AB31="Catastrófico"),AND(Z31="Alta",AB31="Catastrófico"),AND(Z31="Muy Alta",AB31="Catastrófico")),"Extremo","")))),"")</f>
        <v/>
      </c>
      <c r="AE31" s="123"/>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row>
    <row r="32" spans="1:61" x14ac:dyDescent="0.25">
      <c r="A32" s="405"/>
      <c r="B32" s="392"/>
      <c r="C32" s="392"/>
      <c r="D32" s="392"/>
      <c r="E32" s="395"/>
      <c r="F32" s="392"/>
      <c r="G32" s="415"/>
      <c r="H32" s="413"/>
      <c r="I32" s="411"/>
      <c r="J32" s="409"/>
      <c r="K32" s="411">
        <f>IF(NOT(ISERROR(MATCH(J32,_xlfn.ANCHORARRAY(E43),0))),I45&amp;"Por favor no seleccionar los criterios de impacto",J32)</f>
        <v>0</v>
      </c>
      <c r="L32" s="413"/>
      <c r="M32" s="411"/>
      <c r="N32" s="418"/>
      <c r="O32" s="114"/>
      <c r="P32" s="114">
        <v>2</v>
      </c>
      <c r="Q32" s="115"/>
      <c r="R32" s="116" t="str">
        <f>IF(OR(S32="Preventivo",S32="Detectivo"),"Probabilidad",IF(S32="Correctivo","Impacto",""))</f>
        <v/>
      </c>
      <c r="S32" s="117"/>
      <c r="T32" s="117"/>
      <c r="U32" s="118" t="str">
        <f t="shared" ref="U32:U36" si="30">IF(AND(S32="Preventivo",T32="Automático"),"50%",IF(AND(S32="Preventivo",T32="Manual"),"40%",IF(AND(S32="Detectivo",T32="Automático"),"40%",IF(AND(S32="Detectivo",T32="Manual"),"30%",IF(AND(S32="Correctivo",T32="Automático"),"35%",IF(AND(S32="Correctivo",T32="Manual"),"25%",""))))))</f>
        <v/>
      </c>
      <c r="V32" s="117"/>
      <c r="W32" s="117"/>
      <c r="X32" s="117"/>
      <c r="Y32" s="119" t="str">
        <f>IFERROR(IF(AND(R31="Probabilidad",R32="Probabilidad"),(AA31-(+AA31*U32)),IF(R32="Probabilidad",(I31-(+I31*U32)),IF(R32="Impacto",AA31,""))),"")</f>
        <v/>
      </c>
      <c r="Z32" s="120" t="str">
        <f t="shared" si="1"/>
        <v/>
      </c>
      <c r="AA32" s="121" t="str">
        <f t="shared" ref="AA32:AA36" si="31">+Y32</f>
        <v/>
      </c>
      <c r="AB32" s="120" t="str">
        <f t="shared" si="3"/>
        <v/>
      </c>
      <c r="AC32" s="121" t="str">
        <f>IFERROR(IF(AND(R31="Impacto",R32="Impacto"),(AC31-(+AC31*U32)),IF(R32="Impacto",(M31-(+M31*U32)),IF(R32="Probabilidad",AC31,""))),"")</f>
        <v/>
      </c>
      <c r="AD32" s="122" t="str">
        <f t="shared" ref="AD32:AD33" si="32">IFERROR(IF(OR(AND(Z32="Muy Baja",AB32="Leve"),AND(Z32="Muy Baja",AB32="Menor"),AND(Z32="Baja",AB32="Leve")),"Bajo",IF(OR(AND(Z32="Muy baja",AB32="Moderado"),AND(Z32="Baja",AB32="Menor"),AND(Z32="Baja",AB32="Moderado"),AND(Z32="Media",AB32="Leve"),AND(Z32="Media",AB32="Menor"),AND(Z32="Media",AB32="Moderado"),AND(Z32="Alta",AB32="Leve"),AND(Z32="Alta",AB32="Menor")),"Moderado",IF(OR(AND(Z32="Muy Baja",AB32="Mayor"),AND(Z32="Baja",AB32="Mayor"),AND(Z32="Media",AB32="Mayor"),AND(Z32="Alta",AB32="Moderado"),AND(Z32="Alta",AB32="Mayor"),AND(Z32="Muy Alta",AB32="Leve"),AND(Z32="Muy Alta",AB32="Menor"),AND(Z32="Muy Alta",AB32="Moderado"),AND(Z32="Muy Alta",AB32="Mayor")),"Alto",IF(OR(AND(Z32="Muy Baja",AB32="Catastrófico"),AND(Z32="Baja",AB32="Catastrófico"),AND(Z32="Media",AB32="Catastrófico"),AND(Z32="Alta",AB32="Catastrófico"),AND(Z32="Muy Alta",AB32="Catastrófico")),"Extremo","")))),"")</f>
        <v/>
      </c>
      <c r="AE32" s="123"/>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row>
    <row r="33" spans="1:61" x14ac:dyDescent="0.25">
      <c r="A33" s="405"/>
      <c r="B33" s="392"/>
      <c r="C33" s="392"/>
      <c r="D33" s="392"/>
      <c r="E33" s="395"/>
      <c r="F33" s="392"/>
      <c r="G33" s="415"/>
      <c r="H33" s="413"/>
      <c r="I33" s="411"/>
      <c r="J33" s="409"/>
      <c r="K33" s="411">
        <f>IF(NOT(ISERROR(MATCH(J33,_xlfn.ANCHORARRAY(E44),0))),I46&amp;"Por favor no seleccionar los criterios de impacto",J33)</f>
        <v>0</v>
      </c>
      <c r="L33" s="413"/>
      <c r="M33" s="411"/>
      <c r="N33" s="418"/>
      <c r="O33" s="114"/>
      <c r="P33" s="114">
        <v>3</v>
      </c>
      <c r="Q33" s="124"/>
      <c r="R33" s="116" t="str">
        <f>IF(OR(S33="Preventivo",S33="Detectivo"),"Probabilidad",IF(S33="Correctivo","Impacto",""))</f>
        <v/>
      </c>
      <c r="S33" s="117"/>
      <c r="T33" s="117"/>
      <c r="U33" s="118" t="str">
        <f t="shared" si="30"/>
        <v/>
      </c>
      <c r="V33" s="117"/>
      <c r="W33" s="117"/>
      <c r="X33" s="117"/>
      <c r="Y33" s="119" t="str">
        <f>IFERROR(IF(AND(R32="Probabilidad",R33="Probabilidad"),(AA32-(+AA32*U33)),IF(AND(R32="Impacto",R33="Probabilidad"),(AA31-(+AA31*U33)),IF(R33="Impacto",AA32,""))),"")</f>
        <v/>
      </c>
      <c r="Z33" s="120" t="str">
        <f t="shared" si="1"/>
        <v/>
      </c>
      <c r="AA33" s="121" t="str">
        <f t="shared" si="31"/>
        <v/>
      </c>
      <c r="AB33" s="120" t="str">
        <f t="shared" si="3"/>
        <v/>
      </c>
      <c r="AC33" s="121" t="str">
        <f>IFERROR(IF(AND(R32="Impacto",R33="Impacto"),(AC32-(+AC32*U33)),IF(AND(R32="Probabilidad",R33="Impacto"),(AC31-(+AC31*U33)),IF(R33="Probabilidad",AC32,""))),"")</f>
        <v/>
      </c>
      <c r="AD33" s="122" t="str">
        <f t="shared" si="32"/>
        <v/>
      </c>
      <c r="AE33" s="123"/>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row>
    <row r="34" spans="1:61" x14ac:dyDescent="0.25">
      <c r="A34" s="405"/>
      <c r="B34" s="392"/>
      <c r="C34" s="392"/>
      <c r="D34" s="392"/>
      <c r="E34" s="395"/>
      <c r="F34" s="392"/>
      <c r="G34" s="415"/>
      <c r="H34" s="413"/>
      <c r="I34" s="411"/>
      <c r="J34" s="409"/>
      <c r="K34" s="411">
        <f>IF(NOT(ISERROR(MATCH(J34,_xlfn.ANCHORARRAY(E45),0))),I47&amp;"Por favor no seleccionar los criterios de impacto",J34)</f>
        <v>0</v>
      </c>
      <c r="L34" s="413"/>
      <c r="M34" s="411"/>
      <c r="N34" s="418"/>
      <c r="O34" s="114"/>
      <c r="P34" s="114">
        <v>4</v>
      </c>
      <c r="Q34" s="115"/>
      <c r="R34" s="116" t="str">
        <f t="shared" ref="R34:R36" si="33">IF(OR(S34="Preventivo",S34="Detectivo"),"Probabilidad",IF(S34="Correctivo","Impacto",""))</f>
        <v/>
      </c>
      <c r="S34" s="117"/>
      <c r="T34" s="117"/>
      <c r="U34" s="118" t="str">
        <f t="shared" si="30"/>
        <v/>
      </c>
      <c r="V34" s="117"/>
      <c r="W34" s="117"/>
      <c r="X34" s="117"/>
      <c r="Y34" s="119" t="str">
        <f t="shared" ref="Y34:Y36" si="34">IFERROR(IF(AND(R33="Probabilidad",R34="Probabilidad"),(AA33-(+AA33*U34)),IF(AND(R33="Impacto",R34="Probabilidad"),(AA32-(+AA32*U34)),IF(R34="Impacto",AA33,""))),"")</f>
        <v/>
      </c>
      <c r="Z34" s="120" t="str">
        <f t="shared" si="1"/>
        <v/>
      </c>
      <c r="AA34" s="121" t="str">
        <f t="shared" si="31"/>
        <v/>
      </c>
      <c r="AB34" s="120" t="str">
        <f t="shared" si="3"/>
        <v/>
      </c>
      <c r="AC34" s="121" t="str">
        <f t="shared" ref="AC34:AC36" si="35">IFERROR(IF(AND(R33="Impacto",R34="Impacto"),(AC33-(+AC33*U34)),IF(AND(R33="Probabilidad",R34="Impacto"),(AC32-(+AC32*U34)),IF(R34="Probabilidad",AC33,""))),"")</f>
        <v/>
      </c>
      <c r="AD34" s="122" t="str">
        <f>IFERROR(IF(OR(AND(Z34="Muy Baja",AB34="Leve"),AND(Z34="Muy Baja",AB34="Menor"),AND(Z34="Baja",AB34="Leve")),"Bajo",IF(OR(AND(Z34="Muy baja",AB34="Moderado"),AND(Z34="Baja",AB34="Menor"),AND(Z34="Baja",AB34="Moderado"),AND(Z34="Media",AB34="Leve"),AND(Z34="Media",AB34="Menor"),AND(Z34="Media",AB34="Moderado"),AND(Z34="Alta",AB34="Leve"),AND(Z34="Alta",AB34="Menor")),"Moderado",IF(OR(AND(Z34="Muy Baja",AB34="Mayor"),AND(Z34="Baja",AB34="Mayor"),AND(Z34="Media",AB34="Mayor"),AND(Z34="Alta",AB34="Moderado"),AND(Z34="Alta",AB34="Mayor"),AND(Z34="Muy Alta",AB34="Leve"),AND(Z34="Muy Alta",AB34="Menor"),AND(Z34="Muy Alta",AB34="Moderado"),AND(Z34="Muy Alta",AB34="Mayor")),"Alto",IF(OR(AND(Z34="Muy Baja",AB34="Catastrófico"),AND(Z34="Baja",AB34="Catastrófico"),AND(Z34="Media",AB34="Catastrófico"),AND(Z34="Alta",AB34="Catastrófico"),AND(Z34="Muy Alta",AB34="Catastrófico")),"Extremo","")))),"")</f>
        <v/>
      </c>
      <c r="AE34" s="123"/>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row>
    <row r="35" spans="1:61" x14ac:dyDescent="0.25">
      <c r="A35" s="405"/>
      <c r="B35" s="392"/>
      <c r="C35" s="392"/>
      <c r="D35" s="392"/>
      <c r="E35" s="395"/>
      <c r="F35" s="392"/>
      <c r="G35" s="415"/>
      <c r="H35" s="413"/>
      <c r="I35" s="411"/>
      <c r="J35" s="409"/>
      <c r="K35" s="411">
        <f>IF(NOT(ISERROR(MATCH(J35,_xlfn.ANCHORARRAY(E46),0))),I48&amp;"Por favor no seleccionar los criterios de impacto",J35)</f>
        <v>0</v>
      </c>
      <c r="L35" s="413"/>
      <c r="M35" s="411"/>
      <c r="N35" s="418"/>
      <c r="O35" s="114"/>
      <c r="P35" s="114">
        <v>5</v>
      </c>
      <c r="Q35" s="115"/>
      <c r="R35" s="116" t="str">
        <f t="shared" si="33"/>
        <v/>
      </c>
      <c r="S35" s="117"/>
      <c r="T35" s="117"/>
      <c r="U35" s="118" t="str">
        <f t="shared" si="30"/>
        <v/>
      </c>
      <c r="V35" s="117"/>
      <c r="W35" s="117"/>
      <c r="X35" s="117"/>
      <c r="Y35" s="119" t="str">
        <f t="shared" si="34"/>
        <v/>
      </c>
      <c r="Z35" s="120" t="str">
        <f>IFERROR(IF(Y35="","",IF(Y35&lt;=0.2,"Muy Baja",IF(Y35&lt;=0.4,"Baja",IF(Y35&lt;=0.6,"Media",IF(Y35&lt;=0.8,"Alta","Muy Alta"))))),"")</f>
        <v/>
      </c>
      <c r="AA35" s="121" t="str">
        <f t="shared" si="31"/>
        <v/>
      </c>
      <c r="AB35" s="120" t="str">
        <f t="shared" si="3"/>
        <v/>
      </c>
      <c r="AC35" s="121" t="str">
        <f t="shared" si="35"/>
        <v/>
      </c>
      <c r="AD35" s="122" t="str">
        <f t="shared" ref="AD35:AD36" si="36">IFERROR(IF(OR(AND(Z35="Muy Baja",AB35="Leve"),AND(Z35="Muy Baja",AB35="Menor"),AND(Z35="Baja",AB35="Leve")),"Bajo",IF(OR(AND(Z35="Muy baja",AB35="Moderado"),AND(Z35="Baja",AB35="Menor"),AND(Z35="Baja",AB35="Moderado"),AND(Z35="Media",AB35="Leve"),AND(Z35="Media",AB35="Menor"),AND(Z35="Media",AB35="Moderado"),AND(Z35="Alta",AB35="Leve"),AND(Z35="Alta",AB35="Menor")),"Moderado",IF(OR(AND(Z35="Muy Baja",AB35="Mayor"),AND(Z35="Baja",AB35="Mayor"),AND(Z35="Media",AB35="Mayor"),AND(Z35="Alta",AB35="Moderado"),AND(Z35="Alta",AB35="Mayor"),AND(Z35="Muy Alta",AB35="Leve"),AND(Z35="Muy Alta",AB35="Menor"),AND(Z35="Muy Alta",AB35="Moderado"),AND(Z35="Muy Alta",AB35="Mayor")),"Alto",IF(OR(AND(Z35="Muy Baja",AB35="Catastrófico"),AND(Z35="Baja",AB35="Catastrófico"),AND(Z35="Media",AB35="Catastrófico"),AND(Z35="Alta",AB35="Catastrófico"),AND(Z35="Muy Alta",AB35="Catastrófico")),"Extremo","")))),"")</f>
        <v/>
      </c>
      <c r="AE35" s="123"/>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row>
    <row r="36" spans="1:61" x14ac:dyDescent="0.25">
      <c r="A36" s="416"/>
      <c r="B36" s="393"/>
      <c r="C36" s="393"/>
      <c r="D36" s="393"/>
      <c r="E36" s="396"/>
      <c r="F36" s="393"/>
      <c r="G36" s="420"/>
      <c r="H36" s="421"/>
      <c r="I36" s="422"/>
      <c r="J36" s="423"/>
      <c r="K36" s="422">
        <f>IF(NOT(ISERROR(MATCH(J36,_xlfn.ANCHORARRAY(E47),0))),I49&amp;"Por favor no seleccionar los criterios de impacto",J36)</f>
        <v>0</v>
      </c>
      <c r="L36" s="421"/>
      <c r="M36" s="422"/>
      <c r="N36" s="419"/>
      <c r="O36" s="114"/>
      <c r="P36" s="114">
        <v>6</v>
      </c>
      <c r="Q36" s="115"/>
      <c r="R36" s="116" t="str">
        <f t="shared" si="33"/>
        <v/>
      </c>
      <c r="S36" s="117"/>
      <c r="T36" s="117"/>
      <c r="U36" s="118" t="str">
        <f t="shared" si="30"/>
        <v/>
      </c>
      <c r="V36" s="117"/>
      <c r="W36" s="117"/>
      <c r="X36" s="117"/>
      <c r="Y36" s="119" t="str">
        <f t="shared" si="34"/>
        <v/>
      </c>
      <c r="Z36" s="120" t="str">
        <f t="shared" si="1"/>
        <v/>
      </c>
      <c r="AA36" s="121" t="str">
        <f t="shared" si="31"/>
        <v/>
      </c>
      <c r="AB36" s="120" t="str">
        <f t="shared" si="3"/>
        <v/>
      </c>
      <c r="AC36" s="121" t="str">
        <f t="shared" si="35"/>
        <v/>
      </c>
      <c r="AD36" s="122" t="str">
        <f t="shared" si="36"/>
        <v/>
      </c>
      <c r="AE36" s="123"/>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row>
    <row r="37" spans="1:61" x14ac:dyDescent="0.25">
      <c r="A37" s="404">
        <v>5</v>
      </c>
      <c r="B37" s="391"/>
      <c r="C37" s="391"/>
      <c r="D37" s="391"/>
      <c r="E37" s="394"/>
      <c r="F37" s="391"/>
      <c r="G37" s="414"/>
      <c r="H37" s="412" t="str">
        <f>IF(G37&lt;=0,"",IF(G37&lt;=2,"Muy Baja",IF(G37&lt;=24,"Baja",IF(G37&lt;=500,"Media",IF(G37&lt;=5000,"Alta","Muy Alta")))))</f>
        <v/>
      </c>
      <c r="I37" s="410" t="str">
        <f>IF(H37="","",IF(H37="Muy Baja",0.2,IF(H37="Baja",0.4,IF(H37="Media",0.6,IF(H37="Alta",0.8,IF(H37="Muy Alta",1,))))))</f>
        <v/>
      </c>
      <c r="J37" s="408"/>
      <c r="K37" s="410">
        <f>IF(NOT(ISERROR(MATCH(J37,'Tabla Impacto'!$B$221:$B$223,0))),'Tabla Impacto'!$F$223&amp;"Por favor no seleccionar los criterios de impacto(Afectación Económica o presupuestal y Pérdida Reputacional)",J37)</f>
        <v>0</v>
      </c>
      <c r="L37" s="412" t="str">
        <f>IF(OR(K37='Tabla Impacto'!$C$11,K37='Tabla Impacto'!$D$11),"Leve",IF(OR(K37='Tabla Impacto'!$C$12,K37='Tabla Impacto'!$D$12),"Menor",IF(OR(K37='Tabla Impacto'!$C$13,K37='Tabla Impacto'!$D$13),"Moderado",IF(OR(K37='Tabla Impacto'!$C$14,K37='Tabla Impacto'!$D$14),"Mayor",IF(OR(K37='Tabla Impacto'!$C$15,K37='Tabla Impacto'!$D$15),"Catastrófico","")))))</f>
        <v/>
      </c>
      <c r="M37" s="410" t="str">
        <f>IF(L37="","",IF(L37="Leve",0.2,IF(L37="Menor",0.4,IF(L37="Moderado",0.6,IF(L37="Mayor",0.8,IF(L37="Catastrófico",1,))))))</f>
        <v/>
      </c>
      <c r="N37" s="417"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
      </c>
      <c r="O37" s="114"/>
      <c r="P37" s="114">
        <v>1</v>
      </c>
      <c r="Q37" s="115"/>
      <c r="R37" s="116" t="str">
        <f>IF(OR(S37="Preventivo",S37="Detectivo"),"Probabilidad",IF(S37="Correctivo","Impacto",""))</f>
        <v/>
      </c>
      <c r="S37" s="117"/>
      <c r="T37" s="117"/>
      <c r="U37" s="118" t="str">
        <f>IF(AND(S37="Preventivo",T37="Automático"),"50%",IF(AND(S37="Preventivo",T37="Manual"),"40%",IF(AND(S37="Detectivo",T37="Automático"),"40%",IF(AND(S37="Detectivo",T37="Manual"),"30%",IF(AND(S37="Correctivo",T37="Automático"),"35%",IF(AND(S37="Correctivo",T37="Manual"),"25%",""))))))</f>
        <v/>
      </c>
      <c r="V37" s="117"/>
      <c r="W37" s="117"/>
      <c r="X37" s="117"/>
      <c r="Y37" s="119" t="str">
        <f>IFERROR(IF(R37="Probabilidad",(I37-(+I37*U37)),IF(R37="Impacto",I37,"")),"")</f>
        <v/>
      </c>
      <c r="Z37" s="120" t="str">
        <f>IFERROR(IF(Y37="","",IF(Y37&lt;=0.2,"Muy Baja",IF(Y37&lt;=0.4,"Baja",IF(Y37&lt;=0.6,"Media",IF(Y37&lt;=0.8,"Alta","Muy Alta"))))),"")</f>
        <v/>
      </c>
      <c r="AA37" s="121" t="str">
        <f>+Y37</f>
        <v/>
      </c>
      <c r="AB37" s="120" t="str">
        <f>IFERROR(IF(AC37="","",IF(AC37&lt;=0.2,"Leve",IF(AC37&lt;=0.4,"Menor",IF(AC37&lt;=0.6,"Moderado",IF(AC37&lt;=0.8,"Mayor","Catastrófico"))))),"")</f>
        <v/>
      </c>
      <c r="AC37" s="121" t="str">
        <f>IFERROR(IF(R37="Impacto",(M37-(+M37*U37)),IF(R37="Probabilidad",M37,"")),"")</f>
        <v/>
      </c>
      <c r="AD37" s="122" t="str">
        <f>IFERROR(IF(OR(AND(Z37="Muy Baja",AB37="Leve"),AND(Z37="Muy Baja",AB37="Menor"),AND(Z37="Baja",AB37="Leve")),"Bajo",IF(OR(AND(Z37="Muy baja",AB37="Moderado"),AND(Z37="Baja",AB37="Menor"),AND(Z37="Baja",AB37="Moderado"),AND(Z37="Media",AB37="Leve"),AND(Z37="Media",AB37="Menor"),AND(Z37="Media",AB37="Moderado"),AND(Z37="Alta",AB37="Leve"),AND(Z37="Alta",AB37="Menor")),"Moderado",IF(OR(AND(Z37="Muy Baja",AB37="Mayor"),AND(Z37="Baja",AB37="Mayor"),AND(Z37="Media",AB37="Mayor"),AND(Z37="Alta",AB37="Moderado"),AND(Z37="Alta",AB37="Mayor"),AND(Z37="Muy Alta",AB37="Leve"),AND(Z37="Muy Alta",AB37="Menor"),AND(Z37="Muy Alta",AB37="Moderado"),AND(Z37="Muy Alta",AB37="Mayor")),"Alto",IF(OR(AND(Z37="Muy Baja",AB37="Catastrófico"),AND(Z37="Baja",AB37="Catastrófico"),AND(Z37="Media",AB37="Catastrófico"),AND(Z37="Alta",AB37="Catastrófico"),AND(Z37="Muy Alta",AB37="Catastrófico")),"Extremo","")))),"")</f>
        <v/>
      </c>
      <c r="AE37" s="123"/>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1" x14ac:dyDescent="0.25">
      <c r="A38" s="405"/>
      <c r="B38" s="392"/>
      <c r="C38" s="392"/>
      <c r="D38" s="392"/>
      <c r="E38" s="395"/>
      <c r="F38" s="392"/>
      <c r="G38" s="415"/>
      <c r="H38" s="413"/>
      <c r="I38" s="411"/>
      <c r="J38" s="409"/>
      <c r="K38" s="411">
        <f>IF(NOT(ISERROR(MATCH(J38,_xlfn.ANCHORARRAY(E49),0))),I51&amp;"Por favor no seleccionar los criterios de impacto",J38)</f>
        <v>0</v>
      </c>
      <c r="L38" s="413"/>
      <c r="M38" s="411"/>
      <c r="N38" s="418"/>
      <c r="O38" s="114"/>
      <c r="P38" s="114">
        <v>2</v>
      </c>
      <c r="Q38" s="115"/>
      <c r="R38" s="116" t="str">
        <f>IF(OR(S38="Preventivo",S38="Detectivo"),"Probabilidad",IF(S38="Correctivo","Impacto",""))</f>
        <v/>
      </c>
      <c r="S38" s="117"/>
      <c r="T38" s="117"/>
      <c r="U38" s="118" t="str">
        <f t="shared" ref="U38:U42" si="37">IF(AND(S38="Preventivo",T38="Automático"),"50%",IF(AND(S38="Preventivo",T38="Manual"),"40%",IF(AND(S38="Detectivo",T38="Automático"),"40%",IF(AND(S38="Detectivo",T38="Manual"),"30%",IF(AND(S38="Correctivo",T38="Automático"),"35%",IF(AND(S38="Correctivo",T38="Manual"),"25%",""))))))</f>
        <v/>
      </c>
      <c r="V38" s="117"/>
      <c r="W38" s="117"/>
      <c r="X38" s="117"/>
      <c r="Y38" s="119" t="str">
        <f>IFERROR(IF(AND(R37="Probabilidad",R38="Probabilidad"),(AA37-(+AA37*U38)),IF(R38="Probabilidad",(I37-(+I37*U38)),IF(R38="Impacto",AA37,""))),"")</f>
        <v/>
      </c>
      <c r="Z38" s="120" t="str">
        <f t="shared" si="1"/>
        <v/>
      </c>
      <c r="AA38" s="121" t="str">
        <f t="shared" ref="AA38:AA42" si="38">+Y38</f>
        <v/>
      </c>
      <c r="AB38" s="120" t="str">
        <f t="shared" si="3"/>
        <v/>
      </c>
      <c r="AC38" s="121" t="str">
        <f>IFERROR(IF(AND(R37="Impacto",R38="Impacto"),(AC37-(+AC37*U38)),IF(R38="Impacto",(M37-(+M37*U38)),IF(R38="Probabilidad",AC37,""))),"")</f>
        <v/>
      </c>
      <c r="AD38" s="122" t="str">
        <f t="shared" ref="AD38:AD39" si="39">IFERROR(IF(OR(AND(Z38="Muy Baja",AB38="Leve"),AND(Z38="Muy Baja",AB38="Menor"),AND(Z38="Baja",AB38="Leve")),"Bajo",IF(OR(AND(Z38="Muy baja",AB38="Moderado"),AND(Z38="Baja",AB38="Menor"),AND(Z38="Baja",AB38="Moderado"),AND(Z38="Media",AB38="Leve"),AND(Z38="Media",AB38="Menor"),AND(Z38="Media",AB38="Moderado"),AND(Z38="Alta",AB38="Leve"),AND(Z38="Alta",AB38="Menor")),"Moderado",IF(OR(AND(Z38="Muy Baja",AB38="Mayor"),AND(Z38="Baja",AB38="Mayor"),AND(Z38="Media",AB38="Mayor"),AND(Z38="Alta",AB38="Moderado"),AND(Z38="Alta",AB38="Mayor"),AND(Z38="Muy Alta",AB38="Leve"),AND(Z38="Muy Alta",AB38="Menor"),AND(Z38="Muy Alta",AB38="Moderado"),AND(Z38="Muy Alta",AB38="Mayor")),"Alto",IF(OR(AND(Z38="Muy Baja",AB38="Catastrófico"),AND(Z38="Baja",AB38="Catastrófico"),AND(Z38="Media",AB38="Catastrófico"),AND(Z38="Alta",AB38="Catastrófico"),AND(Z38="Muy Alta",AB38="Catastrófico")),"Extremo","")))),"")</f>
        <v/>
      </c>
      <c r="AE38" s="123"/>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row>
    <row r="39" spans="1:61" x14ac:dyDescent="0.25">
      <c r="A39" s="405"/>
      <c r="B39" s="392"/>
      <c r="C39" s="392"/>
      <c r="D39" s="392"/>
      <c r="E39" s="395"/>
      <c r="F39" s="392"/>
      <c r="G39" s="415"/>
      <c r="H39" s="413"/>
      <c r="I39" s="411"/>
      <c r="J39" s="409"/>
      <c r="K39" s="411">
        <f>IF(NOT(ISERROR(MATCH(J39,_xlfn.ANCHORARRAY(E50),0))),I52&amp;"Por favor no seleccionar los criterios de impacto",J39)</f>
        <v>0</v>
      </c>
      <c r="L39" s="413"/>
      <c r="M39" s="411"/>
      <c r="N39" s="418"/>
      <c r="O39" s="114"/>
      <c r="P39" s="114">
        <v>3</v>
      </c>
      <c r="Q39" s="124"/>
      <c r="R39" s="116" t="str">
        <f>IF(OR(S39="Preventivo",S39="Detectivo"),"Probabilidad",IF(S39="Correctivo","Impacto",""))</f>
        <v/>
      </c>
      <c r="S39" s="117"/>
      <c r="T39" s="117"/>
      <c r="U39" s="118" t="str">
        <f t="shared" si="37"/>
        <v/>
      </c>
      <c r="V39" s="117"/>
      <c r="W39" s="117"/>
      <c r="X39" s="117"/>
      <c r="Y39" s="119" t="str">
        <f>IFERROR(IF(AND(R38="Probabilidad",R39="Probabilidad"),(AA38-(+AA38*U39)),IF(AND(R38="Impacto",R39="Probabilidad"),(AA37-(+AA37*U39)),IF(R39="Impacto",AA38,""))),"")</f>
        <v/>
      </c>
      <c r="Z39" s="120" t="str">
        <f t="shared" si="1"/>
        <v/>
      </c>
      <c r="AA39" s="121" t="str">
        <f t="shared" si="38"/>
        <v/>
      </c>
      <c r="AB39" s="120" t="str">
        <f t="shared" si="3"/>
        <v/>
      </c>
      <c r="AC39" s="121" t="str">
        <f>IFERROR(IF(AND(R38="Impacto",R39="Impacto"),(AC38-(+AC38*U39)),IF(AND(R38="Probabilidad",R39="Impacto"),(AC37-(+AC37*U39)),IF(R39="Probabilidad",AC38,""))),"")</f>
        <v/>
      </c>
      <c r="AD39" s="122" t="str">
        <f t="shared" si="39"/>
        <v/>
      </c>
      <c r="AE39" s="123"/>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row>
    <row r="40" spans="1:61" x14ac:dyDescent="0.25">
      <c r="A40" s="405"/>
      <c r="B40" s="392"/>
      <c r="C40" s="392"/>
      <c r="D40" s="392"/>
      <c r="E40" s="395"/>
      <c r="F40" s="392"/>
      <c r="G40" s="415"/>
      <c r="H40" s="413"/>
      <c r="I40" s="411"/>
      <c r="J40" s="409"/>
      <c r="K40" s="411">
        <f>IF(NOT(ISERROR(MATCH(J40,_xlfn.ANCHORARRAY(E51),0))),I53&amp;"Por favor no seleccionar los criterios de impacto",J40)</f>
        <v>0</v>
      </c>
      <c r="L40" s="413"/>
      <c r="M40" s="411"/>
      <c r="N40" s="418"/>
      <c r="O40" s="114"/>
      <c r="P40" s="114">
        <v>4</v>
      </c>
      <c r="Q40" s="115"/>
      <c r="R40" s="116" t="str">
        <f t="shared" ref="R40:R42" si="40">IF(OR(S40="Preventivo",S40="Detectivo"),"Probabilidad",IF(S40="Correctivo","Impacto",""))</f>
        <v/>
      </c>
      <c r="S40" s="117"/>
      <c r="T40" s="117"/>
      <c r="U40" s="118" t="str">
        <f t="shared" si="37"/>
        <v/>
      </c>
      <c r="V40" s="117"/>
      <c r="W40" s="117"/>
      <c r="X40" s="117"/>
      <c r="Y40" s="119" t="str">
        <f t="shared" ref="Y40:Y42" si="41">IFERROR(IF(AND(R39="Probabilidad",R40="Probabilidad"),(AA39-(+AA39*U40)),IF(AND(R39="Impacto",R40="Probabilidad"),(AA38-(+AA38*U40)),IF(R40="Impacto",AA39,""))),"")</f>
        <v/>
      </c>
      <c r="Z40" s="120" t="str">
        <f t="shared" si="1"/>
        <v/>
      </c>
      <c r="AA40" s="121" t="str">
        <f t="shared" si="38"/>
        <v/>
      </c>
      <c r="AB40" s="120" t="str">
        <f t="shared" si="3"/>
        <v/>
      </c>
      <c r="AC40" s="121" t="str">
        <f t="shared" ref="AC40:AC42" si="42">IFERROR(IF(AND(R39="Impacto",R40="Impacto"),(AC39-(+AC39*U40)),IF(AND(R39="Probabilidad",R40="Impacto"),(AC38-(+AC38*U40)),IF(R40="Probabilidad",AC39,""))),"")</f>
        <v/>
      </c>
      <c r="AD40" s="122" t="str">
        <f>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123"/>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row>
    <row r="41" spans="1:61" x14ac:dyDescent="0.25">
      <c r="A41" s="405"/>
      <c r="B41" s="392"/>
      <c r="C41" s="392"/>
      <c r="D41" s="392"/>
      <c r="E41" s="395"/>
      <c r="F41" s="392"/>
      <c r="G41" s="415"/>
      <c r="H41" s="413"/>
      <c r="I41" s="411"/>
      <c r="J41" s="409"/>
      <c r="K41" s="411">
        <f>IF(NOT(ISERROR(MATCH(J41,_xlfn.ANCHORARRAY(E52),0))),I54&amp;"Por favor no seleccionar los criterios de impacto",J41)</f>
        <v>0</v>
      </c>
      <c r="L41" s="413"/>
      <c r="M41" s="411"/>
      <c r="N41" s="418"/>
      <c r="O41" s="114"/>
      <c r="P41" s="114">
        <v>5</v>
      </c>
      <c r="Q41" s="115"/>
      <c r="R41" s="116" t="str">
        <f t="shared" si="40"/>
        <v/>
      </c>
      <c r="S41" s="117"/>
      <c r="T41" s="117"/>
      <c r="U41" s="118" t="str">
        <f t="shared" si="37"/>
        <v/>
      </c>
      <c r="V41" s="117"/>
      <c r="W41" s="117"/>
      <c r="X41" s="117"/>
      <c r="Y41" s="119" t="str">
        <f t="shared" si="41"/>
        <v/>
      </c>
      <c r="Z41" s="120" t="str">
        <f t="shared" si="1"/>
        <v/>
      </c>
      <c r="AA41" s="121" t="str">
        <f t="shared" si="38"/>
        <v/>
      </c>
      <c r="AB41" s="120" t="str">
        <f t="shared" si="3"/>
        <v/>
      </c>
      <c r="AC41" s="121" t="str">
        <f t="shared" si="42"/>
        <v/>
      </c>
      <c r="AD41" s="122" t="str">
        <f t="shared" ref="AD41:AD42" si="43">IFERROR(IF(OR(AND(Z41="Muy Baja",AB41="Leve"),AND(Z41="Muy Baja",AB41="Menor"),AND(Z41="Baja",AB41="Leve")),"Bajo",IF(OR(AND(Z41="Muy baja",AB41="Moderado"),AND(Z41="Baja",AB41="Menor"),AND(Z41="Baja",AB41="Moderado"),AND(Z41="Media",AB41="Leve"),AND(Z41="Media",AB41="Menor"),AND(Z41="Media",AB41="Moderado"),AND(Z41="Alta",AB41="Leve"),AND(Z41="Alta",AB41="Menor")),"Moderado",IF(OR(AND(Z41="Muy Baja",AB41="Mayor"),AND(Z41="Baja",AB41="Mayor"),AND(Z41="Media",AB41="Mayor"),AND(Z41="Alta",AB41="Moderado"),AND(Z41="Alta",AB41="Mayor"),AND(Z41="Muy Alta",AB41="Leve"),AND(Z41="Muy Alta",AB41="Menor"),AND(Z41="Muy Alta",AB41="Moderado"),AND(Z41="Muy Alta",AB41="Mayor")),"Alto",IF(OR(AND(Z41="Muy Baja",AB41="Catastrófico"),AND(Z41="Baja",AB41="Catastrófico"),AND(Z41="Media",AB41="Catastrófico"),AND(Z41="Alta",AB41="Catastrófico"),AND(Z41="Muy Alta",AB41="Catastrófico")),"Extremo","")))),"")</f>
        <v/>
      </c>
      <c r="AE41" s="123"/>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row>
    <row r="42" spans="1:61" x14ac:dyDescent="0.25">
      <c r="A42" s="416"/>
      <c r="B42" s="393"/>
      <c r="C42" s="393"/>
      <c r="D42" s="393"/>
      <c r="E42" s="396"/>
      <c r="F42" s="393"/>
      <c r="G42" s="420"/>
      <c r="H42" s="421"/>
      <c r="I42" s="422"/>
      <c r="J42" s="423"/>
      <c r="K42" s="422">
        <f>IF(NOT(ISERROR(MATCH(J42,_xlfn.ANCHORARRAY(E53),0))),I55&amp;"Por favor no seleccionar los criterios de impacto",J42)</f>
        <v>0</v>
      </c>
      <c r="L42" s="421"/>
      <c r="M42" s="422"/>
      <c r="N42" s="419"/>
      <c r="O42" s="114"/>
      <c r="P42" s="114">
        <v>6</v>
      </c>
      <c r="Q42" s="115"/>
      <c r="R42" s="116" t="str">
        <f t="shared" si="40"/>
        <v/>
      </c>
      <c r="S42" s="117"/>
      <c r="T42" s="117"/>
      <c r="U42" s="118" t="str">
        <f t="shared" si="37"/>
        <v/>
      </c>
      <c r="V42" s="117"/>
      <c r="W42" s="117"/>
      <c r="X42" s="117"/>
      <c r="Y42" s="119" t="str">
        <f t="shared" si="41"/>
        <v/>
      </c>
      <c r="Z42" s="120" t="str">
        <f t="shared" si="1"/>
        <v/>
      </c>
      <c r="AA42" s="121" t="str">
        <f t="shared" si="38"/>
        <v/>
      </c>
      <c r="AB42" s="120" t="str">
        <f t="shared" si="3"/>
        <v/>
      </c>
      <c r="AC42" s="121" t="str">
        <f t="shared" si="42"/>
        <v/>
      </c>
      <c r="AD42" s="122" t="str">
        <f t="shared" si="43"/>
        <v/>
      </c>
      <c r="AE42" s="123"/>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row>
    <row r="43" spans="1:61" x14ac:dyDescent="0.25">
      <c r="A43" s="404">
        <v>6</v>
      </c>
      <c r="B43" s="391"/>
      <c r="C43" s="391"/>
      <c r="D43" s="391"/>
      <c r="E43" s="394"/>
      <c r="F43" s="391"/>
      <c r="G43" s="414"/>
      <c r="H43" s="412" t="str">
        <f>IF(G43&lt;=0,"",IF(G43&lt;=2,"Muy Baja",IF(G43&lt;=24,"Baja",IF(G43&lt;=500,"Media",IF(G43&lt;=5000,"Alta","Muy Alta")))))</f>
        <v/>
      </c>
      <c r="I43" s="410" t="str">
        <f>IF(H43="","",IF(H43="Muy Baja",0.2,IF(H43="Baja",0.4,IF(H43="Media",0.6,IF(H43="Alta",0.8,IF(H43="Muy Alta",1,))))))</f>
        <v/>
      </c>
      <c r="J43" s="408"/>
      <c r="K43" s="410">
        <f>IF(NOT(ISERROR(MATCH(J43,'Tabla Impacto'!$B$221:$B$223,0))),'Tabla Impacto'!$F$223&amp;"Por favor no seleccionar los criterios de impacto(Afectación Económica o presupuestal y Pérdida Reputacional)",J43)</f>
        <v>0</v>
      </c>
      <c r="L43" s="412" t="str">
        <f>IF(OR(K43='Tabla Impacto'!$C$11,K43='Tabla Impacto'!$D$11),"Leve",IF(OR(K43='Tabla Impacto'!$C$12,K43='Tabla Impacto'!$D$12),"Menor",IF(OR(K43='Tabla Impacto'!$C$13,K43='Tabla Impacto'!$D$13),"Moderado",IF(OR(K43='Tabla Impacto'!$C$14,K43='Tabla Impacto'!$D$14),"Mayor",IF(OR(K43='Tabla Impacto'!$C$15,K43='Tabla Impacto'!$D$15),"Catastrófico","")))))</f>
        <v/>
      </c>
      <c r="M43" s="410" t="str">
        <f>IF(L43="","",IF(L43="Leve",0.2,IF(L43="Menor",0.4,IF(L43="Moderado",0.6,IF(L43="Mayor",0.8,IF(L43="Catastrófico",1,))))))</f>
        <v/>
      </c>
      <c r="N43" s="417" t="str">
        <f>IF(OR(AND(H43="Muy Baja",L43="Leve"),AND(H43="Muy Baja",L43="Menor"),AND(H43="Baja",L43="Leve")),"Bajo",IF(OR(AND(H43="Muy baja",L43="Moderado"),AND(H43="Baja",L43="Menor"),AND(H43="Baja",L43="Moderado"),AND(H43="Media",L43="Leve"),AND(H43="Media",L43="Menor"),AND(H43="Media",L43="Moderado"),AND(H43="Alta",L43="Leve"),AND(H43="Alta",L43="Menor")),"Moderado",IF(OR(AND(H43="Muy Baja",L43="Mayor"),AND(H43="Baja",L43="Mayor"),AND(H43="Media",L43="Mayor"),AND(H43="Alta",L43="Moderado"),AND(H43="Alta",L43="Mayor"),AND(H43="Muy Alta",L43="Leve"),AND(H43="Muy Alta",L43="Menor"),AND(H43="Muy Alta",L43="Moderado"),AND(H43="Muy Alta",L43="Mayor")),"Alto",IF(OR(AND(H43="Muy Baja",L43="Catastrófico"),AND(H43="Baja",L43="Catastrófico"),AND(H43="Media",L43="Catastrófico"),AND(H43="Alta",L43="Catastrófico"),AND(H43="Muy Alta",L43="Catastrófico")),"Extremo",""))))</f>
        <v/>
      </c>
      <c r="O43" s="114"/>
      <c r="P43" s="114">
        <v>1</v>
      </c>
      <c r="Q43" s="115"/>
      <c r="R43" s="116" t="str">
        <f>IF(OR(S43="Preventivo",S43="Detectivo"),"Probabilidad",IF(S43="Correctivo","Impacto",""))</f>
        <v/>
      </c>
      <c r="S43" s="117"/>
      <c r="T43" s="117"/>
      <c r="U43" s="118" t="str">
        <f>IF(AND(S43="Preventivo",T43="Automático"),"50%",IF(AND(S43="Preventivo",T43="Manual"),"40%",IF(AND(S43="Detectivo",T43="Automático"),"40%",IF(AND(S43="Detectivo",T43="Manual"),"30%",IF(AND(S43="Correctivo",T43="Automático"),"35%",IF(AND(S43="Correctivo",T43="Manual"),"25%",""))))))</f>
        <v/>
      </c>
      <c r="V43" s="117"/>
      <c r="W43" s="117"/>
      <c r="X43" s="117"/>
      <c r="Y43" s="119" t="str">
        <f>IFERROR(IF(R43="Probabilidad",(I43-(+I43*U43)),IF(R43="Impacto",I43,"")),"")</f>
        <v/>
      </c>
      <c r="Z43" s="120" t="str">
        <f>IFERROR(IF(Y43="","",IF(Y43&lt;=0.2,"Muy Baja",IF(Y43&lt;=0.4,"Baja",IF(Y43&lt;=0.6,"Media",IF(Y43&lt;=0.8,"Alta","Muy Alta"))))),"")</f>
        <v/>
      </c>
      <c r="AA43" s="121" t="str">
        <f>+Y43</f>
        <v/>
      </c>
      <c r="AB43" s="120" t="str">
        <f>IFERROR(IF(AC43="","",IF(AC43&lt;=0.2,"Leve",IF(AC43&lt;=0.4,"Menor",IF(AC43&lt;=0.6,"Moderado",IF(AC43&lt;=0.8,"Mayor","Catastrófico"))))),"")</f>
        <v/>
      </c>
      <c r="AC43" s="121" t="str">
        <f>IFERROR(IF(R43="Impacto",(M43-(+M43*U43)),IF(R43="Probabilidad",M43,"")),"")</f>
        <v/>
      </c>
      <c r="AD43" s="122" t="str">
        <f>IFERROR(IF(OR(AND(Z43="Muy Baja",AB43="Leve"),AND(Z43="Muy Baja",AB43="Menor"),AND(Z43="Baja",AB43="Leve")),"Bajo",IF(OR(AND(Z43="Muy baja",AB43="Moderado"),AND(Z43="Baja",AB43="Menor"),AND(Z43="Baja",AB43="Moderado"),AND(Z43="Media",AB43="Leve"),AND(Z43="Media",AB43="Menor"),AND(Z43="Media",AB43="Moderado"),AND(Z43="Alta",AB43="Leve"),AND(Z43="Alta",AB43="Menor")),"Moderado",IF(OR(AND(Z43="Muy Baja",AB43="Mayor"),AND(Z43="Baja",AB43="Mayor"),AND(Z43="Media",AB43="Mayor"),AND(Z43="Alta",AB43="Moderado"),AND(Z43="Alta",AB43="Mayor"),AND(Z43="Muy Alta",AB43="Leve"),AND(Z43="Muy Alta",AB43="Menor"),AND(Z43="Muy Alta",AB43="Moderado"),AND(Z43="Muy Alta",AB43="Mayor")),"Alto",IF(OR(AND(Z43="Muy Baja",AB43="Catastrófico"),AND(Z43="Baja",AB43="Catastrófico"),AND(Z43="Media",AB43="Catastrófico"),AND(Z43="Alta",AB43="Catastrófico"),AND(Z43="Muy Alta",AB43="Catastrófico")),"Extremo","")))),"")</f>
        <v/>
      </c>
      <c r="AE43" s="123"/>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row>
    <row r="44" spans="1:61" x14ac:dyDescent="0.25">
      <c r="A44" s="405"/>
      <c r="B44" s="392"/>
      <c r="C44" s="392"/>
      <c r="D44" s="392"/>
      <c r="E44" s="395"/>
      <c r="F44" s="392"/>
      <c r="G44" s="415"/>
      <c r="H44" s="413"/>
      <c r="I44" s="411"/>
      <c r="J44" s="409"/>
      <c r="K44" s="411">
        <f>IF(NOT(ISERROR(MATCH(J44,_xlfn.ANCHORARRAY(E55),0))),I57&amp;"Por favor no seleccionar los criterios de impacto",J44)</f>
        <v>0</v>
      </c>
      <c r="L44" s="413"/>
      <c r="M44" s="411"/>
      <c r="N44" s="418"/>
      <c r="O44" s="114"/>
      <c r="P44" s="114">
        <v>2</v>
      </c>
      <c r="Q44" s="115"/>
      <c r="R44" s="116" t="str">
        <f>IF(OR(S44="Preventivo",S44="Detectivo"),"Probabilidad",IF(S44="Correctivo","Impacto",""))</f>
        <v/>
      </c>
      <c r="S44" s="117"/>
      <c r="T44" s="117"/>
      <c r="U44" s="118" t="str">
        <f t="shared" ref="U44:U48" si="44">IF(AND(S44="Preventivo",T44="Automático"),"50%",IF(AND(S44="Preventivo",T44="Manual"),"40%",IF(AND(S44="Detectivo",T44="Automático"),"40%",IF(AND(S44="Detectivo",T44="Manual"),"30%",IF(AND(S44="Correctivo",T44="Automático"),"35%",IF(AND(S44="Correctivo",T44="Manual"),"25%",""))))))</f>
        <v/>
      </c>
      <c r="V44" s="117"/>
      <c r="W44" s="117"/>
      <c r="X44" s="117"/>
      <c r="Y44" s="119" t="str">
        <f>IFERROR(IF(AND(R43="Probabilidad",R44="Probabilidad"),(AA43-(+AA43*U44)),IF(R44="Probabilidad",(I43-(+I43*U44)),IF(R44="Impacto",AA43,""))),"")</f>
        <v/>
      </c>
      <c r="Z44" s="120" t="str">
        <f t="shared" si="1"/>
        <v/>
      </c>
      <c r="AA44" s="121" t="str">
        <f t="shared" ref="AA44:AA48" si="45">+Y44</f>
        <v/>
      </c>
      <c r="AB44" s="120" t="str">
        <f t="shared" si="3"/>
        <v/>
      </c>
      <c r="AC44" s="121" t="str">
        <f>IFERROR(IF(AND(R43="Impacto",R44="Impacto"),(AC43-(+AC43*U44)),IF(R44="Impacto",(M43-(+M43*U44)),IF(R44="Probabilidad",AC43,""))),"")</f>
        <v/>
      </c>
      <c r="AD44" s="122" t="str">
        <f t="shared" ref="AD44:AD45" si="46">IFERROR(IF(OR(AND(Z44="Muy Baja",AB44="Leve"),AND(Z44="Muy Baja",AB44="Menor"),AND(Z44="Baja",AB44="Leve")),"Bajo",IF(OR(AND(Z44="Muy baja",AB44="Moderado"),AND(Z44="Baja",AB44="Menor"),AND(Z44="Baja",AB44="Moderado"),AND(Z44="Media",AB44="Leve"),AND(Z44="Media",AB44="Menor"),AND(Z44="Media",AB44="Moderado"),AND(Z44="Alta",AB44="Leve"),AND(Z44="Alta",AB44="Menor")),"Moderado",IF(OR(AND(Z44="Muy Baja",AB44="Mayor"),AND(Z44="Baja",AB44="Mayor"),AND(Z44="Media",AB44="Mayor"),AND(Z44="Alta",AB44="Moderado"),AND(Z44="Alta",AB44="Mayor"),AND(Z44="Muy Alta",AB44="Leve"),AND(Z44="Muy Alta",AB44="Menor"),AND(Z44="Muy Alta",AB44="Moderado"),AND(Z44="Muy Alta",AB44="Mayor")),"Alto",IF(OR(AND(Z44="Muy Baja",AB44="Catastrófico"),AND(Z44="Baja",AB44="Catastrófico"),AND(Z44="Media",AB44="Catastrófico"),AND(Z44="Alta",AB44="Catastrófico"),AND(Z44="Muy Alta",AB44="Catastrófico")),"Extremo","")))),"")</f>
        <v/>
      </c>
      <c r="AE44" s="123"/>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row>
    <row r="45" spans="1:61" x14ac:dyDescent="0.25">
      <c r="A45" s="405"/>
      <c r="B45" s="392"/>
      <c r="C45" s="392"/>
      <c r="D45" s="392"/>
      <c r="E45" s="395"/>
      <c r="F45" s="392"/>
      <c r="G45" s="415"/>
      <c r="H45" s="413"/>
      <c r="I45" s="411"/>
      <c r="J45" s="409"/>
      <c r="K45" s="411">
        <f>IF(NOT(ISERROR(MATCH(J45,_xlfn.ANCHORARRAY(E56),0))),I58&amp;"Por favor no seleccionar los criterios de impacto",J45)</f>
        <v>0</v>
      </c>
      <c r="L45" s="413"/>
      <c r="M45" s="411"/>
      <c r="N45" s="418"/>
      <c r="O45" s="114"/>
      <c r="P45" s="114">
        <v>3</v>
      </c>
      <c r="Q45" s="124"/>
      <c r="R45" s="116" t="str">
        <f>IF(OR(S45="Preventivo",S45="Detectivo"),"Probabilidad",IF(S45="Correctivo","Impacto",""))</f>
        <v/>
      </c>
      <c r="S45" s="117"/>
      <c r="T45" s="117"/>
      <c r="U45" s="118" t="str">
        <f t="shared" si="44"/>
        <v/>
      </c>
      <c r="V45" s="117"/>
      <c r="W45" s="117"/>
      <c r="X45" s="117"/>
      <c r="Y45" s="119" t="str">
        <f>IFERROR(IF(AND(R44="Probabilidad",R45="Probabilidad"),(AA44-(+AA44*U45)),IF(AND(R44="Impacto",R45="Probabilidad"),(AA43-(+AA43*U45)),IF(R45="Impacto",AA44,""))),"")</f>
        <v/>
      </c>
      <c r="Z45" s="120" t="str">
        <f t="shared" si="1"/>
        <v/>
      </c>
      <c r="AA45" s="121" t="str">
        <f t="shared" si="45"/>
        <v/>
      </c>
      <c r="AB45" s="120" t="str">
        <f t="shared" si="3"/>
        <v/>
      </c>
      <c r="AC45" s="121" t="str">
        <f>IFERROR(IF(AND(R44="Impacto",R45="Impacto"),(AC44-(+AC44*U45)),IF(AND(R44="Probabilidad",R45="Impacto"),(AC43-(+AC43*U45)),IF(R45="Probabilidad",AC44,""))),"")</f>
        <v/>
      </c>
      <c r="AD45" s="122" t="str">
        <f t="shared" si="46"/>
        <v/>
      </c>
      <c r="AE45" s="123"/>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row>
    <row r="46" spans="1:61" x14ac:dyDescent="0.25">
      <c r="A46" s="405"/>
      <c r="B46" s="392"/>
      <c r="C46" s="392"/>
      <c r="D46" s="392"/>
      <c r="E46" s="395"/>
      <c r="F46" s="392"/>
      <c r="G46" s="415"/>
      <c r="H46" s="413"/>
      <c r="I46" s="411"/>
      <c r="J46" s="409"/>
      <c r="K46" s="411">
        <f>IF(NOT(ISERROR(MATCH(J46,_xlfn.ANCHORARRAY(E57),0))),I59&amp;"Por favor no seleccionar los criterios de impacto",J46)</f>
        <v>0</v>
      </c>
      <c r="L46" s="413"/>
      <c r="M46" s="411"/>
      <c r="N46" s="418"/>
      <c r="O46" s="114"/>
      <c r="P46" s="114">
        <v>4</v>
      </c>
      <c r="Q46" s="115"/>
      <c r="R46" s="116" t="str">
        <f t="shared" ref="R46:R48" si="47">IF(OR(S46="Preventivo",S46="Detectivo"),"Probabilidad",IF(S46="Correctivo","Impacto",""))</f>
        <v/>
      </c>
      <c r="S46" s="117"/>
      <c r="T46" s="117"/>
      <c r="U46" s="118" t="str">
        <f t="shared" si="44"/>
        <v/>
      </c>
      <c r="V46" s="117"/>
      <c r="W46" s="117"/>
      <c r="X46" s="117"/>
      <c r="Y46" s="119" t="str">
        <f t="shared" ref="Y46:Y48" si="48">IFERROR(IF(AND(R45="Probabilidad",R46="Probabilidad"),(AA45-(+AA45*U46)),IF(AND(R45="Impacto",R46="Probabilidad"),(AA44-(+AA44*U46)),IF(R46="Impacto",AA45,""))),"")</f>
        <v/>
      </c>
      <c r="Z46" s="120" t="str">
        <f t="shared" si="1"/>
        <v/>
      </c>
      <c r="AA46" s="121" t="str">
        <f t="shared" si="45"/>
        <v/>
      </c>
      <c r="AB46" s="120" t="str">
        <f t="shared" si="3"/>
        <v/>
      </c>
      <c r="AC46" s="121" t="str">
        <f t="shared" ref="AC46:AC48" si="49">IFERROR(IF(AND(R45="Impacto",R46="Impacto"),(AC45-(+AC45*U46)),IF(AND(R45="Probabilidad",R46="Impacto"),(AC44-(+AC44*U46)),IF(R46="Probabilidad",AC45,""))),"")</f>
        <v/>
      </c>
      <c r="AD46" s="122" t="str">
        <f>IFERROR(IF(OR(AND(Z46="Muy Baja",AB46="Leve"),AND(Z46="Muy Baja",AB46="Menor"),AND(Z46="Baja",AB46="Leve")),"Bajo",IF(OR(AND(Z46="Muy baja",AB46="Moderado"),AND(Z46="Baja",AB46="Menor"),AND(Z46="Baja",AB46="Moderado"),AND(Z46="Media",AB46="Leve"),AND(Z46="Media",AB46="Menor"),AND(Z46="Media",AB46="Moderado"),AND(Z46="Alta",AB46="Leve"),AND(Z46="Alta",AB46="Menor")),"Moderado",IF(OR(AND(Z46="Muy Baja",AB46="Mayor"),AND(Z46="Baja",AB46="Mayor"),AND(Z46="Media",AB46="Mayor"),AND(Z46="Alta",AB46="Moderado"),AND(Z46="Alta",AB46="Mayor"),AND(Z46="Muy Alta",AB46="Leve"),AND(Z46="Muy Alta",AB46="Menor"),AND(Z46="Muy Alta",AB46="Moderado"),AND(Z46="Muy Alta",AB46="Mayor")),"Alto",IF(OR(AND(Z46="Muy Baja",AB46="Catastrófico"),AND(Z46="Baja",AB46="Catastrófico"),AND(Z46="Media",AB46="Catastrófico"),AND(Z46="Alta",AB46="Catastrófico"),AND(Z46="Muy Alta",AB46="Catastrófico")),"Extremo","")))),"")</f>
        <v/>
      </c>
      <c r="AE46" s="123"/>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row>
    <row r="47" spans="1:61" x14ac:dyDescent="0.25">
      <c r="A47" s="405"/>
      <c r="B47" s="392"/>
      <c r="C47" s="392"/>
      <c r="D47" s="392"/>
      <c r="E47" s="395"/>
      <c r="F47" s="392"/>
      <c r="G47" s="415"/>
      <c r="H47" s="413"/>
      <c r="I47" s="411"/>
      <c r="J47" s="409"/>
      <c r="K47" s="411">
        <f>IF(NOT(ISERROR(MATCH(J47,_xlfn.ANCHORARRAY(E58),0))),I60&amp;"Por favor no seleccionar los criterios de impacto",J47)</f>
        <v>0</v>
      </c>
      <c r="L47" s="413"/>
      <c r="M47" s="411"/>
      <c r="N47" s="418"/>
      <c r="O47" s="114"/>
      <c r="P47" s="114">
        <v>5</v>
      </c>
      <c r="Q47" s="115"/>
      <c r="R47" s="116" t="str">
        <f t="shared" si="47"/>
        <v/>
      </c>
      <c r="S47" s="117"/>
      <c r="T47" s="117"/>
      <c r="U47" s="118" t="str">
        <f t="shared" si="44"/>
        <v/>
      </c>
      <c r="V47" s="117"/>
      <c r="W47" s="117"/>
      <c r="X47" s="117"/>
      <c r="Y47" s="119" t="str">
        <f t="shared" si="48"/>
        <v/>
      </c>
      <c r="Z47" s="120" t="str">
        <f t="shared" si="1"/>
        <v/>
      </c>
      <c r="AA47" s="121" t="str">
        <f t="shared" si="45"/>
        <v/>
      </c>
      <c r="AB47" s="120" t="str">
        <f t="shared" si="3"/>
        <v/>
      </c>
      <c r="AC47" s="121" t="str">
        <f t="shared" si="49"/>
        <v/>
      </c>
      <c r="AD47" s="122" t="str">
        <f t="shared" ref="AD47" si="50">IFERROR(IF(OR(AND(Z47="Muy Baja",AB47="Leve"),AND(Z47="Muy Baja",AB47="Menor"),AND(Z47="Baja",AB47="Leve")),"Bajo",IF(OR(AND(Z47="Muy baja",AB47="Moderado"),AND(Z47="Baja",AB47="Menor"),AND(Z47="Baja",AB47="Moderado"),AND(Z47="Media",AB47="Leve"),AND(Z47="Media",AB47="Menor"),AND(Z47="Media",AB47="Moderado"),AND(Z47="Alta",AB47="Leve"),AND(Z47="Alta",AB47="Menor")),"Moderado",IF(OR(AND(Z47="Muy Baja",AB47="Mayor"),AND(Z47="Baja",AB47="Mayor"),AND(Z47="Media",AB47="Mayor"),AND(Z47="Alta",AB47="Moderado"),AND(Z47="Alta",AB47="Mayor"),AND(Z47="Muy Alta",AB47="Leve"),AND(Z47="Muy Alta",AB47="Menor"),AND(Z47="Muy Alta",AB47="Moderado"),AND(Z47="Muy Alta",AB47="Mayor")),"Alto",IF(OR(AND(Z47="Muy Baja",AB47="Catastrófico"),AND(Z47="Baja",AB47="Catastrófico"),AND(Z47="Media",AB47="Catastrófico"),AND(Z47="Alta",AB47="Catastrófico"),AND(Z47="Muy Alta",AB47="Catastrófico")),"Extremo","")))),"")</f>
        <v/>
      </c>
      <c r="AE47" s="123"/>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row>
    <row r="48" spans="1:61" x14ac:dyDescent="0.25">
      <c r="A48" s="416"/>
      <c r="B48" s="393"/>
      <c r="C48" s="393"/>
      <c r="D48" s="393"/>
      <c r="E48" s="396"/>
      <c r="F48" s="393"/>
      <c r="G48" s="420"/>
      <c r="H48" s="421"/>
      <c r="I48" s="422"/>
      <c r="J48" s="423"/>
      <c r="K48" s="422">
        <f>IF(NOT(ISERROR(MATCH(J48,_xlfn.ANCHORARRAY(E59),0))),I61&amp;"Por favor no seleccionar los criterios de impacto",J48)</f>
        <v>0</v>
      </c>
      <c r="L48" s="421"/>
      <c r="M48" s="422"/>
      <c r="N48" s="419"/>
      <c r="O48" s="114"/>
      <c r="P48" s="114">
        <v>6</v>
      </c>
      <c r="Q48" s="115"/>
      <c r="R48" s="116" t="str">
        <f t="shared" si="47"/>
        <v/>
      </c>
      <c r="S48" s="117"/>
      <c r="T48" s="117"/>
      <c r="U48" s="118" t="str">
        <f t="shared" si="44"/>
        <v/>
      </c>
      <c r="V48" s="117"/>
      <c r="W48" s="117"/>
      <c r="X48" s="117"/>
      <c r="Y48" s="119" t="str">
        <f t="shared" si="48"/>
        <v/>
      </c>
      <c r="Z48" s="120" t="str">
        <f t="shared" si="1"/>
        <v/>
      </c>
      <c r="AA48" s="121" t="str">
        <f t="shared" si="45"/>
        <v/>
      </c>
      <c r="AB48" s="120" t="str">
        <f>IFERROR(IF(AC48="","",IF(AC48&lt;=0.2,"Leve",IF(AC48&lt;=0.4,"Menor",IF(AC48&lt;=0.6,"Moderado",IF(AC48&lt;=0.8,"Mayor","Catastrófico"))))),"")</f>
        <v/>
      </c>
      <c r="AC48" s="121" t="str">
        <f t="shared" si="49"/>
        <v/>
      </c>
      <c r="AD48" s="122" t="str">
        <f>IFERROR(IF(OR(AND(Z48="Muy Baja",AB48="Leve"),AND(Z48="Muy Baja",AB48="Menor"),AND(Z48="Baja",AB48="Leve")),"Bajo",IF(OR(AND(Z48="Muy baja",AB48="Moderado"),AND(Z48="Baja",AB48="Menor"),AND(Z48="Baja",AB48="Moderado"),AND(Z48="Media",AB48="Leve"),AND(Z48="Media",AB48="Menor"),AND(Z48="Media",AB48="Moderado"),AND(Z48="Alta",AB48="Leve"),AND(Z48="Alta",AB48="Menor")),"Moderado",IF(OR(AND(Z48="Muy Baja",AB48="Mayor"),AND(Z48="Baja",AB48="Mayor"),AND(Z48="Media",AB48="Mayor"),AND(Z48="Alta",AB48="Moderado"),AND(Z48="Alta",AB48="Mayor"),AND(Z48="Muy Alta",AB48="Leve"),AND(Z48="Muy Alta",AB48="Menor"),AND(Z48="Muy Alta",AB48="Moderado"),AND(Z48="Muy Alta",AB48="Mayor")),"Alto",IF(OR(AND(Z48="Muy Baja",AB48="Catastrófico"),AND(Z48="Baja",AB48="Catastrófico"),AND(Z48="Media",AB48="Catastrófico"),AND(Z48="Alta",AB48="Catastrófico"),AND(Z48="Muy Alta",AB48="Catastrófico")),"Extremo","")))),"")</f>
        <v/>
      </c>
      <c r="AE48" s="123"/>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row>
    <row r="49" spans="1:61" x14ac:dyDescent="0.25">
      <c r="A49" s="404">
        <v>7</v>
      </c>
      <c r="B49" s="391"/>
      <c r="C49" s="391"/>
      <c r="D49" s="391"/>
      <c r="E49" s="394"/>
      <c r="F49" s="391"/>
      <c r="G49" s="414"/>
      <c r="H49" s="412" t="str">
        <f>IF(G49&lt;=0,"",IF(G49&lt;=2,"Muy Baja",IF(G49&lt;=24,"Baja",IF(G49&lt;=500,"Media",IF(G49&lt;=5000,"Alta","Muy Alta")))))</f>
        <v/>
      </c>
      <c r="I49" s="410" t="str">
        <f>IF(H49="","",IF(H49="Muy Baja",0.2,IF(H49="Baja",0.4,IF(H49="Media",0.6,IF(H49="Alta",0.8,IF(H49="Muy Alta",1,))))))</f>
        <v/>
      </c>
      <c r="J49" s="408"/>
      <c r="K49" s="410">
        <f>IF(NOT(ISERROR(MATCH(J49,'Tabla Impacto'!$B$221:$B$223,0))),'Tabla Impacto'!$F$223&amp;"Por favor no seleccionar los criterios de impacto(Afectación Económica o presupuestal y Pérdida Reputacional)",J49)</f>
        <v>0</v>
      </c>
      <c r="L49" s="412" t="str">
        <f>IF(OR(K49='Tabla Impacto'!$C$11,K49='Tabla Impacto'!$D$11),"Leve",IF(OR(K49='Tabla Impacto'!$C$12,K49='Tabla Impacto'!$D$12),"Menor",IF(OR(K49='Tabla Impacto'!$C$13,K49='Tabla Impacto'!$D$13),"Moderado",IF(OR(K49='Tabla Impacto'!$C$14,K49='Tabla Impacto'!$D$14),"Mayor",IF(OR(K49='Tabla Impacto'!$C$15,K49='Tabla Impacto'!$D$15),"Catastrófico","")))))</f>
        <v/>
      </c>
      <c r="M49" s="410" t="str">
        <f>IF(L49="","",IF(L49="Leve",0.2,IF(L49="Menor",0.4,IF(L49="Moderado",0.6,IF(L49="Mayor",0.8,IF(L49="Catastrófico",1,))))))</f>
        <v/>
      </c>
      <c r="N49" s="417"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
      </c>
      <c r="O49" s="114"/>
      <c r="P49" s="114">
        <v>1</v>
      </c>
      <c r="Q49" s="115"/>
      <c r="R49" s="116" t="str">
        <f>IF(OR(S49="Preventivo",S49="Detectivo"),"Probabilidad",IF(S49="Correctivo","Impacto",""))</f>
        <v/>
      </c>
      <c r="S49" s="117"/>
      <c r="T49" s="117"/>
      <c r="U49" s="118" t="str">
        <f>IF(AND(S49="Preventivo",T49="Automático"),"50%",IF(AND(S49="Preventivo",T49="Manual"),"40%",IF(AND(S49="Detectivo",T49="Automático"),"40%",IF(AND(S49="Detectivo",T49="Manual"),"30%",IF(AND(S49="Correctivo",T49="Automático"),"35%",IF(AND(S49="Correctivo",T49="Manual"),"25%",""))))))</f>
        <v/>
      </c>
      <c r="V49" s="117"/>
      <c r="W49" s="117"/>
      <c r="X49" s="117"/>
      <c r="Y49" s="119" t="str">
        <f>IFERROR(IF(R49="Probabilidad",(I49-(+I49*U49)),IF(R49="Impacto",I49,"")),"")</f>
        <v/>
      </c>
      <c r="Z49" s="120" t="str">
        <f>IFERROR(IF(Y49="","",IF(Y49&lt;=0.2,"Muy Baja",IF(Y49&lt;=0.4,"Baja",IF(Y49&lt;=0.6,"Media",IF(Y49&lt;=0.8,"Alta","Muy Alta"))))),"")</f>
        <v/>
      </c>
      <c r="AA49" s="121" t="str">
        <f>+Y49</f>
        <v/>
      </c>
      <c r="AB49" s="120" t="str">
        <f>IFERROR(IF(AC49="","",IF(AC49&lt;=0.2,"Leve",IF(AC49&lt;=0.4,"Menor",IF(AC49&lt;=0.6,"Moderado",IF(AC49&lt;=0.8,"Mayor","Catastrófico"))))),"")</f>
        <v/>
      </c>
      <c r="AC49" s="121" t="str">
        <f>IFERROR(IF(R49="Impacto",(M49-(+M49*U49)),IF(R49="Probabilidad",M49,"")),"")</f>
        <v/>
      </c>
      <c r="AD49" s="122" t="str">
        <f>IFERROR(IF(OR(AND(Z49="Muy Baja",AB49="Leve"),AND(Z49="Muy Baja",AB49="Menor"),AND(Z49="Baja",AB49="Leve")),"Bajo",IF(OR(AND(Z49="Muy baja",AB49="Moderado"),AND(Z49="Baja",AB49="Menor"),AND(Z49="Baja",AB49="Moderado"),AND(Z49="Media",AB49="Leve"),AND(Z49="Media",AB49="Menor"),AND(Z49="Media",AB49="Moderado"),AND(Z49="Alta",AB49="Leve"),AND(Z49="Alta",AB49="Menor")),"Moderado",IF(OR(AND(Z49="Muy Baja",AB49="Mayor"),AND(Z49="Baja",AB49="Mayor"),AND(Z49="Media",AB49="Mayor"),AND(Z49="Alta",AB49="Moderado"),AND(Z49="Alta",AB49="Mayor"),AND(Z49="Muy Alta",AB49="Leve"),AND(Z49="Muy Alta",AB49="Menor"),AND(Z49="Muy Alta",AB49="Moderado"),AND(Z49="Muy Alta",AB49="Mayor")),"Alto",IF(OR(AND(Z49="Muy Baja",AB49="Catastrófico"),AND(Z49="Baja",AB49="Catastrófico"),AND(Z49="Media",AB49="Catastrófico"),AND(Z49="Alta",AB49="Catastrófico"),AND(Z49="Muy Alta",AB49="Catastrófico")),"Extremo","")))),"")</f>
        <v/>
      </c>
      <c r="AE49" s="123"/>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row>
    <row r="50" spans="1:61" x14ac:dyDescent="0.25">
      <c r="A50" s="405"/>
      <c r="B50" s="392"/>
      <c r="C50" s="392"/>
      <c r="D50" s="392"/>
      <c r="E50" s="395"/>
      <c r="F50" s="392"/>
      <c r="G50" s="415"/>
      <c r="H50" s="413"/>
      <c r="I50" s="411"/>
      <c r="J50" s="409"/>
      <c r="K50" s="411">
        <f>IF(NOT(ISERROR(MATCH(J50,_xlfn.ANCHORARRAY(E61),0))),I63&amp;"Por favor no seleccionar los criterios de impacto",J50)</f>
        <v>0</v>
      </c>
      <c r="L50" s="413"/>
      <c r="M50" s="411"/>
      <c r="N50" s="418"/>
      <c r="O50" s="114"/>
      <c r="P50" s="114">
        <v>2</v>
      </c>
      <c r="Q50" s="115"/>
      <c r="R50" s="116" t="str">
        <f>IF(OR(S50="Preventivo",S50="Detectivo"),"Probabilidad",IF(S50="Correctivo","Impacto",""))</f>
        <v/>
      </c>
      <c r="S50" s="117"/>
      <c r="T50" s="117"/>
      <c r="U50" s="118" t="str">
        <f t="shared" ref="U50:U54" si="51">IF(AND(S50="Preventivo",T50="Automático"),"50%",IF(AND(S50="Preventivo",T50="Manual"),"40%",IF(AND(S50="Detectivo",T50="Automático"),"40%",IF(AND(S50="Detectivo",T50="Manual"),"30%",IF(AND(S50="Correctivo",T50="Automático"),"35%",IF(AND(S50="Correctivo",T50="Manual"),"25%",""))))))</f>
        <v/>
      </c>
      <c r="V50" s="117"/>
      <c r="W50" s="117"/>
      <c r="X50" s="117"/>
      <c r="Y50" s="119" t="str">
        <f>IFERROR(IF(AND(R49="Probabilidad",R50="Probabilidad"),(AA49-(+AA49*U50)),IF(R50="Probabilidad",(I49-(+I49*U50)),IF(R50="Impacto",AA49,""))),"")</f>
        <v/>
      </c>
      <c r="Z50" s="120" t="str">
        <f t="shared" si="1"/>
        <v/>
      </c>
      <c r="AA50" s="121" t="str">
        <f t="shared" ref="AA50:AA54" si="52">+Y50</f>
        <v/>
      </c>
      <c r="AB50" s="120" t="str">
        <f t="shared" si="3"/>
        <v/>
      </c>
      <c r="AC50" s="121" t="str">
        <f>IFERROR(IF(AND(R49="Impacto",R50="Impacto"),(AC49-(+AC49*U50)),IF(R50="Impacto",(M49-(+M49*U50)),IF(R50="Probabilidad",AC49,""))),"")</f>
        <v/>
      </c>
      <c r="AD50" s="122" t="str">
        <f t="shared" ref="AD50:AD51" si="53">IFERROR(IF(OR(AND(Z50="Muy Baja",AB50="Leve"),AND(Z50="Muy Baja",AB50="Menor"),AND(Z50="Baja",AB50="Leve")),"Bajo",IF(OR(AND(Z50="Muy baja",AB50="Moderado"),AND(Z50="Baja",AB50="Menor"),AND(Z50="Baja",AB50="Moderado"),AND(Z50="Media",AB50="Leve"),AND(Z50="Media",AB50="Menor"),AND(Z50="Media",AB50="Moderado"),AND(Z50="Alta",AB50="Leve"),AND(Z50="Alta",AB50="Menor")),"Moderado",IF(OR(AND(Z50="Muy Baja",AB50="Mayor"),AND(Z50="Baja",AB50="Mayor"),AND(Z50="Media",AB50="Mayor"),AND(Z50="Alta",AB50="Moderado"),AND(Z50="Alta",AB50="Mayor"),AND(Z50="Muy Alta",AB50="Leve"),AND(Z50="Muy Alta",AB50="Menor"),AND(Z50="Muy Alta",AB50="Moderado"),AND(Z50="Muy Alta",AB50="Mayor")),"Alto",IF(OR(AND(Z50="Muy Baja",AB50="Catastrófico"),AND(Z50="Baja",AB50="Catastrófico"),AND(Z50="Media",AB50="Catastrófico"),AND(Z50="Alta",AB50="Catastrófico"),AND(Z50="Muy Alta",AB50="Catastrófico")),"Extremo","")))),"")</f>
        <v/>
      </c>
      <c r="AE50" s="123"/>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row>
    <row r="51" spans="1:61" x14ac:dyDescent="0.25">
      <c r="A51" s="405"/>
      <c r="B51" s="392"/>
      <c r="C51" s="392"/>
      <c r="D51" s="392"/>
      <c r="E51" s="395"/>
      <c r="F51" s="392"/>
      <c r="G51" s="415"/>
      <c r="H51" s="413"/>
      <c r="I51" s="411"/>
      <c r="J51" s="409"/>
      <c r="K51" s="411">
        <f>IF(NOT(ISERROR(MATCH(J51,_xlfn.ANCHORARRAY(E62),0))),I64&amp;"Por favor no seleccionar los criterios de impacto",J51)</f>
        <v>0</v>
      </c>
      <c r="L51" s="413"/>
      <c r="M51" s="411"/>
      <c r="N51" s="418"/>
      <c r="O51" s="114"/>
      <c r="P51" s="114">
        <v>3</v>
      </c>
      <c r="Q51" s="124"/>
      <c r="R51" s="116" t="str">
        <f>IF(OR(S51="Preventivo",S51="Detectivo"),"Probabilidad",IF(S51="Correctivo","Impacto",""))</f>
        <v/>
      </c>
      <c r="S51" s="117"/>
      <c r="T51" s="117"/>
      <c r="U51" s="118" t="str">
        <f t="shared" si="51"/>
        <v/>
      </c>
      <c r="V51" s="117"/>
      <c r="W51" s="117"/>
      <c r="X51" s="117"/>
      <c r="Y51" s="119" t="str">
        <f>IFERROR(IF(AND(R50="Probabilidad",R51="Probabilidad"),(AA50-(+AA50*U51)),IF(AND(R50="Impacto",R51="Probabilidad"),(AA49-(+AA49*U51)),IF(R51="Impacto",AA50,""))),"")</f>
        <v/>
      </c>
      <c r="Z51" s="120" t="str">
        <f t="shared" si="1"/>
        <v/>
      </c>
      <c r="AA51" s="121" t="str">
        <f t="shared" si="52"/>
        <v/>
      </c>
      <c r="AB51" s="120" t="str">
        <f t="shared" si="3"/>
        <v/>
      </c>
      <c r="AC51" s="121" t="str">
        <f>IFERROR(IF(AND(R50="Impacto",R51="Impacto"),(AC50-(+AC50*U51)),IF(AND(R50="Probabilidad",R51="Impacto"),(AC49-(+AC49*U51)),IF(R51="Probabilidad",AC50,""))),"")</f>
        <v/>
      </c>
      <c r="AD51" s="122" t="str">
        <f t="shared" si="53"/>
        <v/>
      </c>
      <c r="AE51" s="123"/>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row>
    <row r="52" spans="1:61" x14ac:dyDescent="0.25">
      <c r="A52" s="405"/>
      <c r="B52" s="392"/>
      <c r="C52" s="392"/>
      <c r="D52" s="392"/>
      <c r="E52" s="395"/>
      <c r="F52" s="392"/>
      <c r="G52" s="415"/>
      <c r="H52" s="413"/>
      <c r="I52" s="411"/>
      <c r="J52" s="409"/>
      <c r="K52" s="411">
        <f>IF(NOT(ISERROR(MATCH(J52,_xlfn.ANCHORARRAY(E63),0))),I65&amp;"Por favor no seleccionar los criterios de impacto",J52)</f>
        <v>0</v>
      </c>
      <c r="L52" s="413"/>
      <c r="M52" s="411"/>
      <c r="N52" s="418"/>
      <c r="O52" s="114"/>
      <c r="P52" s="114">
        <v>4</v>
      </c>
      <c r="Q52" s="115"/>
      <c r="R52" s="116" t="str">
        <f t="shared" ref="R52:R54" si="54">IF(OR(S52="Preventivo",S52="Detectivo"),"Probabilidad",IF(S52="Correctivo","Impacto",""))</f>
        <v/>
      </c>
      <c r="S52" s="117"/>
      <c r="T52" s="117"/>
      <c r="U52" s="118" t="str">
        <f t="shared" si="51"/>
        <v/>
      </c>
      <c r="V52" s="117"/>
      <c r="W52" s="117"/>
      <c r="X52" s="117"/>
      <c r="Y52" s="119" t="str">
        <f t="shared" ref="Y52:Y54" si="55">IFERROR(IF(AND(R51="Probabilidad",R52="Probabilidad"),(AA51-(+AA51*U52)),IF(AND(R51="Impacto",R52="Probabilidad"),(AA50-(+AA50*U52)),IF(R52="Impacto",AA51,""))),"")</f>
        <v/>
      </c>
      <c r="Z52" s="120" t="str">
        <f t="shared" si="1"/>
        <v/>
      </c>
      <c r="AA52" s="121" t="str">
        <f t="shared" si="52"/>
        <v/>
      </c>
      <c r="AB52" s="120" t="str">
        <f t="shared" si="3"/>
        <v/>
      </c>
      <c r="AC52" s="121" t="str">
        <f t="shared" ref="AC52:AC54" si="56">IFERROR(IF(AND(R51="Impacto",R52="Impacto"),(AC51-(+AC51*U52)),IF(AND(R51="Probabilidad",R52="Impacto"),(AC50-(+AC50*U52)),IF(R52="Probabilidad",AC51,""))),"")</f>
        <v/>
      </c>
      <c r="AD52" s="122" t="str">
        <f>IFERROR(IF(OR(AND(Z52="Muy Baja",AB52="Leve"),AND(Z52="Muy Baja",AB52="Menor"),AND(Z52="Baja",AB52="Leve")),"Bajo",IF(OR(AND(Z52="Muy baja",AB52="Moderado"),AND(Z52="Baja",AB52="Menor"),AND(Z52="Baja",AB52="Moderado"),AND(Z52="Media",AB52="Leve"),AND(Z52="Media",AB52="Menor"),AND(Z52="Media",AB52="Moderado"),AND(Z52="Alta",AB52="Leve"),AND(Z52="Alta",AB52="Menor")),"Moderado",IF(OR(AND(Z52="Muy Baja",AB52="Mayor"),AND(Z52="Baja",AB52="Mayor"),AND(Z52="Media",AB52="Mayor"),AND(Z52="Alta",AB52="Moderado"),AND(Z52="Alta",AB52="Mayor"),AND(Z52="Muy Alta",AB52="Leve"),AND(Z52="Muy Alta",AB52="Menor"),AND(Z52="Muy Alta",AB52="Moderado"),AND(Z52="Muy Alta",AB52="Mayor")),"Alto",IF(OR(AND(Z52="Muy Baja",AB52="Catastrófico"),AND(Z52="Baja",AB52="Catastrófico"),AND(Z52="Media",AB52="Catastrófico"),AND(Z52="Alta",AB52="Catastrófico"),AND(Z52="Muy Alta",AB52="Catastrófico")),"Extremo","")))),"")</f>
        <v/>
      </c>
      <c r="AE52" s="123"/>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row>
    <row r="53" spans="1:61" x14ac:dyDescent="0.25">
      <c r="A53" s="405"/>
      <c r="B53" s="392"/>
      <c r="C53" s="392"/>
      <c r="D53" s="392"/>
      <c r="E53" s="395"/>
      <c r="F53" s="392"/>
      <c r="G53" s="415"/>
      <c r="H53" s="413"/>
      <c r="I53" s="411"/>
      <c r="J53" s="409"/>
      <c r="K53" s="411">
        <f>IF(NOT(ISERROR(MATCH(J53,_xlfn.ANCHORARRAY(E64),0))),I66&amp;"Por favor no seleccionar los criterios de impacto",J53)</f>
        <v>0</v>
      </c>
      <c r="L53" s="413"/>
      <c r="M53" s="411"/>
      <c r="N53" s="418"/>
      <c r="O53" s="114"/>
      <c r="P53" s="114">
        <v>5</v>
      </c>
      <c r="Q53" s="115"/>
      <c r="R53" s="116" t="str">
        <f t="shared" si="54"/>
        <v/>
      </c>
      <c r="S53" s="117"/>
      <c r="T53" s="117"/>
      <c r="U53" s="118" t="str">
        <f t="shared" si="51"/>
        <v/>
      </c>
      <c r="V53" s="117"/>
      <c r="W53" s="117"/>
      <c r="X53" s="117"/>
      <c r="Y53" s="119" t="str">
        <f t="shared" si="55"/>
        <v/>
      </c>
      <c r="Z53" s="120" t="str">
        <f t="shared" si="1"/>
        <v/>
      </c>
      <c r="AA53" s="121" t="str">
        <f t="shared" si="52"/>
        <v/>
      </c>
      <c r="AB53" s="120" t="str">
        <f t="shared" si="3"/>
        <v/>
      </c>
      <c r="AC53" s="121" t="str">
        <f t="shared" si="56"/>
        <v/>
      </c>
      <c r="AD53" s="122" t="str">
        <f t="shared" ref="AD53:AD54" si="57">IFERROR(IF(OR(AND(Z53="Muy Baja",AB53="Leve"),AND(Z53="Muy Baja",AB53="Menor"),AND(Z53="Baja",AB53="Leve")),"Bajo",IF(OR(AND(Z53="Muy baja",AB53="Moderado"),AND(Z53="Baja",AB53="Menor"),AND(Z53="Baja",AB53="Moderado"),AND(Z53="Media",AB53="Leve"),AND(Z53="Media",AB53="Menor"),AND(Z53="Media",AB53="Moderado"),AND(Z53="Alta",AB53="Leve"),AND(Z53="Alta",AB53="Menor")),"Moderado",IF(OR(AND(Z53="Muy Baja",AB53="Mayor"),AND(Z53="Baja",AB53="Mayor"),AND(Z53="Media",AB53="Mayor"),AND(Z53="Alta",AB53="Moderado"),AND(Z53="Alta",AB53="Mayor"),AND(Z53="Muy Alta",AB53="Leve"),AND(Z53="Muy Alta",AB53="Menor"),AND(Z53="Muy Alta",AB53="Moderado"),AND(Z53="Muy Alta",AB53="Mayor")),"Alto",IF(OR(AND(Z53="Muy Baja",AB53="Catastrófico"),AND(Z53="Baja",AB53="Catastrófico"),AND(Z53="Media",AB53="Catastrófico"),AND(Z53="Alta",AB53="Catastrófico"),AND(Z53="Muy Alta",AB53="Catastrófico")),"Extremo","")))),"")</f>
        <v/>
      </c>
      <c r="AE53" s="123"/>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row>
    <row r="54" spans="1:61" x14ac:dyDescent="0.25">
      <c r="A54" s="416"/>
      <c r="B54" s="393"/>
      <c r="C54" s="393"/>
      <c r="D54" s="393"/>
      <c r="E54" s="396"/>
      <c r="F54" s="393"/>
      <c r="G54" s="420"/>
      <c r="H54" s="421"/>
      <c r="I54" s="422"/>
      <c r="J54" s="423"/>
      <c r="K54" s="422">
        <f>IF(NOT(ISERROR(MATCH(J54,_xlfn.ANCHORARRAY(E65),0))),I67&amp;"Por favor no seleccionar los criterios de impacto",J54)</f>
        <v>0</v>
      </c>
      <c r="L54" s="421"/>
      <c r="M54" s="422"/>
      <c r="N54" s="419"/>
      <c r="O54" s="114"/>
      <c r="P54" s="114">
        <v>6</v>
      </c>
      <c r="Q54" s="115"/>
      <c r="R54" s="116" t="str">
        <f t="shared" si="54"/>
        <v/>
      </c>
      <c r="S54" s="117"/>
      <c r="T54" s="117"/>
      <c r="U54" s="118" t="str">
        <f t="shared" si="51"/>
        <v/>
      </c>
      <c r="V54" s="117"/>
      <c r="W54" s="117"/>
      <c r="X54" s="117"/>
      <c r="Y54" s="119" t="str">
        <f t="shared" si="55"/>
        <v/>
      </c>
      <c r="Z54" s="120" t="str">
        <f t="shared" si="1"/>
        <v/>
      </c>
      <c r="AA54" s="121" t="str">
        <f t="shared" si="52"/>
        <v/>
      </c>
      <c r="AB54" s="120" t="str">
        <f t="shared" si="3"/>
        <v/>
      </c>
      <c r="AC54" s="121" t="str">
        <f t="shared" si="56"/>
        <v/>
      </c>
      <c r="AD54" s="122" t="str">
        <f t="shared" si="57"/>
        <v/>
      </c>
      <c r="AE54" s="123"/>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row>
    <row r="55" spans="1:61" x14ac:dyDescent="0.25">
      <c r="A55" s="404">
        <v>8</v>
      </c>
      <c r="B55" s="391"/>
      <c r="C55" s="391"/>
      <c r="D55" s="391"/>
      <c r="E55" s="394"/>
      <c r="F55" s="391"/>
      <c r="G55" s="414"/>
      <c r="H55" s="412" t="str">
        <f>IF(G55&lt;=0,"",IF(G55&lt;=2,"Muy Baja",IF(G55&lt;=24,"Baja",IF(G55&lt;=500,"Media",IF(G55&lt;=5000,"Alta","Muy Alta")))))</f>
        <v/>
      </c>
      <c r="I55" s="410" t="str">
        <f>IF(H55="","",IF(H55="Muy Baja",0.2,IF(H55="Baja",0.4,IF(H55="Media",0.6,IF(H55="Alta",0.8,IF(H55="Muy Alta",1,))))))</f>
        <v/>
      </c>
      <c r="J55" s="408"/>
      <c r="K55" s="410">
        <f>IF(NOT(ISERROR(MATCH(J55,'Tabla Impacto'!$B$221:$B$223,0))),'Tabla Impacto'!$F$223&amp;"Por favor no seleccionar los criterios de impacto(Afectación Económica o presupuestal y Pérdida Reputacional)",J55)</f>
        <v>0</v>
      </c>
      <c r="L55" s="412" t="str">
        <f>IF(OR(K55='Tabla Impacto'!$C$11,K55='Tabla Impacto'!$D$11),"Leve",IF(OR(K55='Tabla Impacto'!$C$12,K55='Tabla Impacto'!$D$12),"Menor",IF(OR(K55='Tabla Impacto'!$C$13,K55='Tabla Impacto'!$D$13),"Moderado",IF(OR(K55='Tabla Impacto'!$C$14,K55='Tabla Impacto'!$D$14),"Mayor",IF(OR(K55='Tabla Impacto'!$C$15,K55='Tabla Impacto'!$D$15),"Catastrófico","")))))</f>
        <v/>
      </c>
      <c r="M55" s="410" t="str">
        <f>IF(L55="","",IF(L55="Leve",0.2,IF(L55="Menor",0.4,IF(L55="Moderado",0.6,IF(L55="Mayor",0.8,IF(L55="Catastrófico",1,))))))</f>
        <v/>
      </c>
      <c r="N55" s="417" t="str">
        <f>IF(OR(AND(H55="Muy Baja",L55="Leve"),AND(H55="Muy Baja",L55="Menor"),AND(H55="Baja",L55="Leve")),"Bajo",IF(OR(AND(H55="Muy baja",L55="Moderado"),AND(H55="Baja",L55="Menor"),AND(H55="Baja",L55="Moderado"),AND(H55="Media",L55="Leve"),AND(H55="Media",L55="Menor"),AND(H55="Media",L55="Moderado"),AND(H55="Alta",L55="Leve"),AND(H55="Alta",L55="Menor")),"Moderado",IF(OR(AND(H55="Muy Baja",L55="Mayor"),AND(H55="Baja",L55="Mayor"),AND(H55="Media",L55="Mayor"),AND(H55="Alta",L55="Moderado"),AND(H55="Alta",L55="Mayor"),AND(H55="Muy Alta",L55="Leve"),AND(H55="Muy Alta",L55="Menor"),AND(H55="Muy Alta",L55="Moderado"),AND(H55="Muy Alta",L55="Mayor")),"Alto",IF(OR(AND(H55="Muy Baja",L55="Catastrófico"),AND(H55="Baja",L55="Catastrófico"),AND(H55="Media",L55="Catastrófico"),AND(H55="Alta",L55="Catastrófico"),AND(H55="Muy Alta",L55="Catastrófico")),"Extremo",""))))</f>
        <v/>
      </c>
      <c r="O55" s="114"/>
      <c r="P55" s="114">
        <v>1</v>
      </c>
      <c r="Q55" s="115"/>
      <c r="R55" s="116" t="str">
        <f>IF(OR(S55="Preventivo",S55="Detectivo"),"Probabilidad",IF(S55="Correctivo","Impacto",""))</f>
        <v/>
      </c>
      <c r="S55" s="117"/>
      <c r="T55" s="117"/>
      <c r="U55" s="118" t="str">
        <f>IF(AND(S55="Preventivo",T55="Automático"),"50%",IF(AND(S55="Preventivo",T55="Manual"),"40%",IF(AND(S55="Detectivo",T55="Automático"),"40%",IF(AND(S55="Detectivo",T55="Manual"),"30%",IF(AND(S55="Correctivo",T55="Automático"),"35%",IF(AND(S55="Correctivo",T55="Manual"),"25%",""))))))</f>
        <v/>
      </c>
      <c r="V55" s="117"/>
      <c r="W55" s="117"/>
      <c r="X55" s="117"/>
      <c r="Y55" s="119" t="str">
        <f>IFERROR(IF(R55="Probabilidad",(I55-(+I55*U55)),IF(R55="Impacto",I55,"")),"")</f>
        <v/>
      </c>
      <c r="Z55" s="120" t="str">
        <f>IFERROR(IF(Y55="","",IF(Y55&lt;=0.2,"Muy Baja",IF(Y55&lt;=0.4,"Baja",IF(Y55&lt;=0.6,"Media",IF(Y55&lt;=0.8,"Alta","Muy Alta"))))),"")</f>
        <v/>
      </c>
      <c r="AA55" s="121" t="str">
        <f>+Y55</f>
        <v/>
      </c>
      <c r="AB55" s="120" t="str">
        <f>IFERROR(IF(AC55="","",IF(AC55&lt;=0.2,"Leve",IF(AC55&lt;=0.4,"Menor",IF(AC55&lt;=0.6,"Moderado",IF(AC55&lt;=0.8,"Mayor","Catastrófico"))))),"")</f>
        <v/>
      </c>
      <c r="AC55" s="121" t="str">
        <f>IFERROR(IF(R55="Impacto",(M55-(+M55*U55)),IF(R55="Probabilidad",M55,"")),"")</f>
        <v/>
      </c>
      <c r="AD55" s="122" t="str">
        <f>IFERROR(IF(OR(AND(Z55="Muy Baja",AB55="Leve"),AND(Z55="Muy Baja",AB55="Menor"),AND(Z55="Baja",AB55="Leve")),"Bajo",IF(OR(AND(Z55="Muy baja",AB55="Moderado"),AND(Z55="Baja",AB55="Menor"),AND(Z55="Baja",AB55="Moderado"),AND(Z55="Media",AB55="Leve"),AND(Z55="Media",AB55="Menor"),AND(Z55="Media",AB55="Moderado"),AND(Z55="Alta",AB55="Leve"),AND(Z55="Alta",AB55="Menor")),"Moderado",IF(OR(AND(Z55="Muy Baja",AB55="Mayor"),AND(Z55="Baja",AB55="Mayor"),AND(Z55="Media",AB55="Mayor"),AND(Z55="Alta",AB55="Moderado"),AND(Z55="Alta",AB55="Mayor"),AND(Z55="Muy Alta",AB55="Leve"),AND(Z55="Muy Alta",AB55="Menor"),AND(Z55="Muy Alta",AB55="Moderado"),AND(Z55="Muy Alta",AB55="Mayor")),"Alto",IF(OR(AND(Z55="Muy Baja",AB55="Catastrófico"),AND(Z55="Baja",AB55="Catastrófico"),AND(Z55="Media",AB55="Catastrófico"),AND(Z55="Alta",AB55="Catastrófico"),AND(Z55="Muy Alta",AB55="Catastrófico")),"Extremo","")))),"")</f>
        <v/>
      </c>
      <c r="AE55" s="123"/>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row>
    <row r="56" spans="1:61" x14ac:dyDescent="0.25">
      <c r="A56" s="405"/>
      <c r="B56" s="392"/>
      <c r="C56" s="392"/>
      <c r="D56" s="392"/>
      <c r="E56" s="395"/>
      <c r="F56" s="392"/>
      <c r="G56" s="415"/>
      <c r="H56" s="413"/>
      <c r="I56" s="411"/>
      <c r="J56" s="409"/>
      <c r="K56" s="411">
        <f>IF(NOT(ISERROR(MATCH(J56,_xlfn.ANCHORARRAY(E67),0))),I69&amp;"Por favor no seleccionar los criterios de impacto",J56)</f>
        <v>0</v>
      </c>
      <c r="L56" s="413"/>
      <c r="M56" s="411"/>
      <c r="N56" s="418"/>
      <c r="O56" s="114"/>
      <c r="P56" s="114">
        <v>2</v>
      </c>
      <c r="Q56" s="115"/>
      <c r="R56" s="116" t="str">
        <f>IF(OR(S56="Preventivo",S56="Detectivo"),"Probabilidad",IF(S56="Correctivo","Impacto",""))</f>
        <v/>
      </c>
      <c r="S56" s="117"/>
      <c r="T56" s="117"/>
      <c r="U56" s="118" t="str">
        <f t="shared" ref="U56:U60" si="58">IF(AND(S56="Preventivo",T56="Automático"),"50%",IF(AND(S56="Preventivo",T56="Manual"),"40%",IF(AND(S56="Detectivo",T56="Automático"),"40%",IF(AND(S56="Detectivo",T56="Manual"),"30%",IF(AND(S56="Correctivo",T56="Automático"),"35%",IF(AND(S56="Correctivo",T56="Manual"),"25%",""))))))</f>
        <v/>
      </c>
      <c r="V56" s="117"/>
      <c r="W56" s="117"/>
      <c r="X56" s="117"/>
      <c r="Y56" s="119" t="str">
        <f>IFERROR(IF(AND(R55="Probabilidad",R56="Probabilidad"),(AA55-(+AA55*U56)),IF(R56="Probabilidad",(I55-(+I55*U56)),IF(R56="Impacto",AA55,""))),"")</f>
        <v/>
      </c>
      <c r="Z56" s="120" t="str">
        <f t="shared" si="1"/>
        <v/>
      </c>
      <c r="AA56" s="121" t="str">
        <f t="shared" ref="AA56:AA60" si="59">+Y56</f>
        <v/>
      </c>
      <c r="AB56" s="120" t="str">
        <f t="shared" si="3"/>
        <v/>
      </c>
      <c r="AC56" s="121" t="str">
        <f>IFERROR(IF(AND(R55="Impacto",R56="Impacto"),(AC55-(+AC55*U56)),IF(R56="Impacto",(M55-(+M55*U56)),IF(R56="Probabilidad",AC55,""))),"")</f>
        <v/>
      </c>
      <c r="AD56" s="122" t="str">
        <f t="shared" ref="AD56:AD57" si="60">IFERROR(IF(OR(AND(Z56="Muy Baja",AB56="Leve"),AND(Z56="Muy Baja",AB56="Menor"),AND(Z56="Baja",AB56="Leve")),"Bajo",IF(OR(AND(Z56="Muy baja",AB56="Moderado"),AND(Z56="Baja",AB56="Menor"),AND(Z56="Baja",AB56="Moderado"),AND(Z56="Media",AB56="Leve"),AND(Z56="Media",AB56="Menor"),AND(Z56="Media",AB56="Moderado"),AND(Z56="Alta",AB56="Leve"),AND(Z56="Alta",AB56="Menor")),"Moderado",IF(OR(AND(Z56="Muy Baja",AB56="Mayor"),AND(Z56="Baja",AB56="Mayor"),AND(Z56="Media",AB56="Mayor"),AND(Z56="Alta",AB56="Moderado"),AND(Z56="Alta",AB56="Mayor"),AND(Z56="Muy Alta",AB56="Leve"),AND(Z56="Muy Alta",AB56="Menor"),AND(Z56="Muy Alta",AB56="Moderado"),AND(Z56="Muy Alta",AB56="Mayor")),"Alto",IF(OR(AND(Z56="Muy Baja",AB56="Catastrófico"),AND(Z56="Baja",AB56="Catastrófico"),AND(Z56="Media",AB56="Catastrófico"),AND(Z56="Alta",AB56="Catastrófico"),AND(Z56="Muy Alta",AB56="Catastrófico")),"Extremo","")))),"")</f>
        <v/>
      </c>
      <c r="AE56" s="123"/>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row>
    <row r="57" spans="1:61" x14ac:dyDescent="0.25">
      <c r="A57" s="405"/>
      <c r="B57" s="392"/>
      <c r="C57" s="392"/>
      <c r="D57" s="392"/>
      <c r="E57" s="395"/>
      <c r="F57" s="392"/>
      <c r="G57" s="415"/>
      <c r="H57" s="413"/>
      <c r="I57" s="411"/>
      <c r="J57" s="409"/>
      <c r="K57" s="411">
        <f>IF(NOT(ISERROR(MATCH(J57,_xlfn.ANCHORARRAY(E68),0))),I70&amp;"Por favor no seleccionar los criterios de impacto",J57)</f>
        <v>0</v>
      </c>
      <c r="L57" s="413"/>
      <c r="M57" s="411"/>
      <c r="N57" s="418"/>
      <c r="O57" s="114"/>
      <c r="P57" s="114">
        <v>3</v>
      </c>
      <c r="Q57" s="124"/>
      <c r="R57" s="116" t="str">
        <f>IF(OR(S57="Preventivo",S57="Detectivo"),"Probabilidad",IF(S57="Correctivo","Impacto",""))</f>
        <v/>
      </c>
      <c r="S57" s="117"/>
      <c r="T57" s="117"/>
      <c r="U57" s="118" t="str">
        <f t="shared" si="58"/>
        <v/>
      </c>
      <c r="V57" s="117"/>
      <c r="W57" s="117"/>
      <c r="X57" s="117"/>
      <c r="Y57" s="119" t="str">
        <f>IFERROR(IF(AND(R56="Probabilidad",R57="Probabilidad"),(AA56-(+AA56*U57)),IF(AND(R56="Impacto",R57="Probabilidad"),(AA55-(+AA55*U57)),IF(R57="Impacto",AA56,""))),"")</f>
        <v/>
      </c>
      <c r="Z57" s="120" t="str">
        <f t="shared" si="1"/>
        <v/>
      </c>
      <c r="AA57" s="121" t="str">
        <f t="shared" si="59"/>
        <v/>
      </c>
      <c r="AB57" s="120" t="str">
        <f t="shared" si="3"/>
        <v/>
      </c>
      <c r="AC57" s="121" t="str">
        <f>IFERROR(IF(AND(R56="Impacto",R57="Impacto"),(AC56-(+AC56*U57)),IF(AND(R56="Probabilidad",R57="Impacto"),(AC55-(+AC55*U57)),IF(R57="Probabilidad",AC56,""))),"")</f>
        <v/>
      </c>
      <c r="AD57" s="122" t="str">
        <f t="shared" si="60"/>
        <v/>
      </c>
      <c r="AE57" s="123"/>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row>
    <row r="58" spans="1:61" x14ac:dyDescent="0.25">
      <c r="A58" s="405"/>
      <c r="B58" s="392"/>
      <c r="C58" s="392"/>
      <c r="D58" s="392"/>
      <c r="E58" s="395"/>
      <c r="F58" s="392"/>
      <c r="G58" s="415"/>
      <c r="H58" s="413"/>
      <c r="I58" s="411"/>
      <c r="J58" s="409"/>
      <c r="K58" s="411">
        <f>IF(NOT(ISERROR(MATCH(J58,_xlfn.ANCHORARRAY(E69),0))),I71&amp;"Por favor no seleccionar los criterios de impacto",J58)</f>
        <v>0</v>
      </c>
      <c r="L58" s="413"/>
      <c r="M58" s="411"/>
      <c r="N58" s="418"/>
      <c r="O58" s="114"/>
      <c r="P58" s="114">
        <v>4</v>
      </c>
      <c r="Q58" s="115"/>
      <c r="R58" s="116" t="str">
        <f t="shared" ref="R58:R60" si="61">IF(OR(S58="Preventivo",S58="Detectivo"),"Probabilidad",IF(S58="Correctivo","Impacto",""))</f>
        <v/>
      </c>
      <c r="S58" s="117"/>
      <c r="T58" s="117"/>
      <c r="U58" s="118" t="str">
        <f t="shared" si="58"/>
        <v/>
      </c>
      <c r="V58" s="117"/>
      <c r="W58" s="117"/>
      <c r="X58" s="117"/>
      <c r="Y58" s="119" t="str">
        <f t="shared" ref="Y58:Y60" si="62">IFERROR(IF(AND(R57="Probabilidad",R58="Probabilidad"),(AA57-(+AA57*U58)),IF(AND(R57="Impacto",R58="Probabilidad"),(AA56-(+AA56*U58)),IF(R58="Impacto",AA57,""))),"")</f>
        <v/>
      </c>
      <c r="Z58" s="120" t="str">
        <f t="shared" si="1"/>
        <v/>
      </c>
      <c r="AA58" s="121" t="str">
        <f t="shared" si="59"/>
        <v/>
      </c>
      <c r="AB58" s="120" t="str">
        <f t="shared" si="3"/>
        <v/>
      </c>
      <c r="AC58" s="121" t="str">
        <f t="shared" ref="AC58:AC60" si="63">IFERROR(IF(AND(R57="Impacto",R58="Impacto"),(AC57-(+AC57*U58)),IF(AND(R57="Probabilidad",R58="Impacto"),(AC56-(+AC56*U58)),IF(R58="Probabilidad",AC57,""))),"")</f>
        <v/>
      </c>
      <c r="AD58" s="122" t="str">
        <f>IFERROR(IF(OR(AND(Z58="Muy Baja",AB58="Leve"),AND(Z58="Muy Baja",AB58="Menor"),AND(Z58="Baja",AB58="Leve")),"Bajo",IF(OR(AND(Z58="Muy baja",AB58="Moderado"),AND(Z58="Baja",AB58="Menor"),AND(Z58="Baja",AB58="Moderado"),AND(Z58="Media",AB58="Leve"),AND(Z58="Media",AB58="Menor"),AND(Z58="Media",AB58="Moderado"),AND(Z58="Alta",AB58="Leve"),AND(Z58="Alta",AB58="Menor")),"Moderado",IF(OR(AND(Z58="Muy Baja",AB58="Mayor"),AND(Z58="Baja",AB58="Mayor"),AND(Z58="Media",AB58="Mayor"),AND(Z58="Alta",AB58="Moderado"),AND(Z58="Alta",AB58="Mayor"),AND(Z58="Muy Alta",AB58="Leve"),AND(Z58="Muy Alta",AB58="Menor"),AND(Z58="Muy Alta",AB58="Moderado"),AND(Z58="Muy Alta",AB58="Mayor")),"Alto",IF(OR(AND(Z58="Muy Baja",AB58="Catastrófico"),AND(Z58="Baja",AB58="Catastrófico"),AND(Z58="Media",AB58="Catastrófico"),AND(Z58="Alta",AB58="Catastrófico"),AND(Z58="Muy Alta",AB58="Catastrófico")),"Extremo","")))),"")</f>
        <v/>
      </c>
      <c r="AE58" s="123"/>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row>
    <row r="59" spans="1:61" x14ac:dyDescent="0.25">
      <c r="A59" s="405"/>
      <c r="B59" s="392"/>
      <c r="C59" s="392"/>
      <c r="D59" s="392"/>
      <c r="E59" s="395"/>
      <c r="F59" s="392"/>
      <c r="G59" s="415"/>
      <c r="H59" s="413"/>
      <c r="I59" s="411"/>
      <c r="J59" s="409"/>
      <c r="K59" s="411">
        <f>IF(NOT(ISERROR(MATCH(J59,_xlfn.ANCHORARRAY(E70),0))),I72&amp;"Por favor no seleccionar los criterios de impacto",J59)</f>
        <v>0</v>
      </c>
      <c r="L59" s="413"/>
      <c r="M59" s="411"/>
      <c r="N59" s="418"/>
      <c r="O59" s="114"/>
      <c r="P59" s="114">
        <v>5</v>
      </c>
      <c r="Q59" s="115"/>
      <c r="R59" s="116" t="str">
        <f t="shared" si="61"/>
        <v/>
      </c>
      <c r="S59" s="117"/>
      <c r="T59" s="117"/>
      <c r="U59" s="118" t="str">
        <f t="shared" si="58"/>
        <v/>
      </c>
      <c r="V59" s="117"/>
      <c r="W59" s="117"/>
      <c r="X59" s="117"/>
      <c r="Y59" s="119" t="str">
        <f t="shared" si="62"/>
        <v/>
      </c>
      <c r="Z59" s="120" t="str">
        <f t="shared" si="1"/>
        <v/>
      </c>
      <c r="AA59" s="121" t="str">
        <f t="shared" si="59"/>
        <v/>
      </c>
      <c r="AB59" s="120" t="str">
        <f t="shared" si="3"/>
        <v/>
      </c>
      <c r="AC59" s="121" t="str">
        <f t="shared" si="63"/>
        <v/>
      </c>
      <c r="AD59" s="122" t="str">
        <f t="shared" ref="AD59:AD60" si="64">IFERROR(IF(OR(AND(Z59="Muy Baja",AB59="Leve"),AND(Z59="Muy Baja",AB59="Menor"),AND(Z59="Baja",AB59="Leve")),"Bajo",IF(OR(AND(Z59="Muy baja",AB59="Moderado"),AND(Z59="Baja",AB59="Menor"),AND(Z59="Baja",AB59="Moderado"),AND(Z59="Media",AB59="Leve"),AND(Z59="Media",AB59="Menor"),AND(Z59="Media",AB59="Moderado"),AND(Z59="Alta",AB59="Leve"),AND(Z59="Alta",AB59="Menor")),"Moderado",IF(OR(AND(Z59="Muy Baja",AB59="Mayor"),AND(Z59="Baja",AB59="Mayor"),AND(Z59="Media",AB59="Mayor"),AND(Z59="Alta",AB59="Moderado"),AND(Z59="Alta",AB59="Mayor"),AND(Z59="Muy Alta",AB59="Leve"),AND(Z59="Muy Alta",AB59="Menor"),AND(Z59="Muy Alta",AB59="Moderado"),AND(Z59="Muy Alta",AB59="Mayor")),"Alto",IF(OR(AND(Z59="Muy Baja",AB59="Catastrófico"),AND(Z59="Baja",AB59="Catastrófico"),AND(Z59="Media",AB59="Catastrófico"),AND(Z59="Alta",AB59="Catastrófico"),AND(Z59="Muy Alta",AB59="Catastrófico")),"Extremo","")))),"")</f>
        <v/>
      </c>
      <c r="AE59" s="123"/>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row>
    <row r="60" spans="1:61" x14ac:dyDescent="0.25">
      <c r="A60" s="416"/>
      <c r="B60" s="393"/>
      <c r="C60" s="393"/>
      <c r="D60" s="393"/>
      <c r="E60" s="396"/>
      <c r="F60" s="393"/>
      <c r="G60" s="420"/>
      <c r="H60" s="421"/>
      <c r="I60" s="422"/>
      <c r="J60" s="423"/>
      <c r="K60" s="422">
        <f>IF(NOT(ISERROR(MATCH(J60,_xlfn.ANCHORARRAY(E71),0))),I73&amp;"Por favor no seleccionar los criterios de impacto",J60)</f>
        <v>0</v>
      </c>
      <c r="L60" s="421"/>
      <c r="M60" s="422"/>
      <c r="N60" s="419"/>
      <c r="O60" s="114"/>
      <c r="P60" s="114">
        <v>6</v>
      </c>
      <c r="Q60" s="115"/>
      <c r="R60" s="116" t="str">
        <f t="shared" si="61"/>
        <v/>
      </c>
      <c r="S60" s="117"/>
      <c r="T60" s="117"/>
      <c r="U60" s="118" t="str">
        <f t="shared" si="58"/>
        <v/>
      </c>
      <c r="V60" s="117"/>
      <c r="W60" s="117"/>
      <c r="X60" s="117"/>
      <c r="Y60" s="119" t="str">
        <f t="shared" si="62"/>
        <v/>
      </c>
      <c r="Z60" s="120" t="str">
        <f t="shared" si="1"/>
        <v/>
      </c>
      <c r="AA60" s="121" t="str">
        <f t="shared" si="59"/>
        <v/>
      </c>
      <c r="AB60" s="120" t="str">
        <f t="shared" si="3"/>
        <v/>
      </c>
      <c r="AC60" s="121" t="str">
        <f t="shared" si="63"/>
        <v/>
      </c>
      <c r="AD60" s="122" t="str">
        <f t="shared" si="64"/>
        <v/>
      </c>
      <c r="AE60" s="123"/>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row>
    <row r="61" spans="1:61" x14ac:dyDescent="0.25">
      <c r="A61" s="404">
        <v>9</v>
      </c>
      <c r="B61" s="391"/>
      <c r="C61" s="391"/>
      <c r="D61" s="391"/>
      <c r="E61" s="394"/>
      <c r="F61" s="391"/>
      <c r="G61" s="414"/>
      <c r="H61" s="412" t="str">
        <f>IF(G61&lt;=0,"",IF(G61&lt;=2,"Muy Baja",IF(G61&lt;=24,"Baja",IF(G61&lt;=500,"Media",IF(G61&lt;=5000,"Alta","Muy Alta")))))</f>
        <v/>
      </c>
      <c r="I61" s="410" t="str">
        <f>IF(H61="","",IF(H61="Muy Baja",0.2,IF(H61="Baja",0.4,IF(H61="Media",0.6,IF(H61="Alta",0.8,IF(H61="Muy Alta",1,))))))</f>
        <v/>
      </c>
      <c r="J61" s="408"/>
      <c r="K61" s="410">
        <f>IF(NOT(ISERROR(MATCH(J61,'Tabla Impacto'!$B$221:$B$223,0))),'Tabla Impacto'!$F$223&amp;"Por favor no seleccionar los criterios de impacto(Afectación Económica o presupuestal y Pérdida Reputacional)",J61)</f>
        <v>0</v>
      </c>
      <c r="L61" s="412" t="str">
        <f>IF(OR(K61='Tabla Impacto'!$C$11,K61='Tabla Impacto'!$D$11),"Leve",IF(OR(K61='Tabla Impacto'!$C$12,K61='Tabla Impacto'!$D$12),"Menor",IF(OR(K61='Tabla Impacto'!$C$13,K61='Tabla Impacto'!$D$13),"Moderado",IF(OR(K61='Tabla Impacto'!$C$14,K61='Tabla Impacto'!$D$14),"Mayor",IF(OR(K61='Tabla Impacto'!$C$15,K61='Tabla Impacto'!$D$15),"Catastrófico","")))))</f>
        <v/>
      </c>
      <c r="M61" s="410" t="str">
        <f>IF(L61="","",IF(L61="Leve",0.2,IF(L61="Menor",0.4,IF(L61="Moderado",0.6,IF(L61="Mayor",0.8,IF(L61="Catastrófico",1,))))))</f>
        <v/>
      </c>
      <c r="N61" s="417"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
      </c>
      <c r="O61" s="126"/>
      <c r="P61" s="114">
        <v>1</v>
      </c>
      <c r="Q61" s="115"/>
      <c r="R61" s="116" t="str">
        <f>IF(OR(S61="Preventivo",S61="Detectivo"),"Probabilidad",IF(S61="Correctivo","Impacto",""))</f>
        <v/>
      </c>
      <c r="S61" s="117"/>
      <c r="T61" s="117"/>
      <c r="U61" s="118" t="str">
        <f>IF(AND(S61="Preventivo",T61="Automático"),"50%",IF(AND(S61="Preventivo",T61="Manual"),"40%",IF(AND(S61="Detectivo",T61="Automático"),"40%",IF(AND(S61="Detectivo",T61="Manual"),"30%",IF(AND(S61="Correctivo",T61="Automático"),"35%",IF(AND(S61="Correctivo",T61="Manual"),"25%",""))))))</f>
        <v/>
      </c>
      <c r="V61" s="117"/>
      <c r="W61" s="117"/>
      <c r="X61" s="117"/>
      <c r="Y61" s="119" t="str">
        <f>IFERROR(IF(R61="Probabilidad",(I61-(+I61*U61)),IF(R61="Impacto",I61,"")),"")</f>
        <v/>
      </c>
      <c r="Z61" s="120" t="str">
        <f>IFERROR(IF(Y61="","",IF(Y61&lt;=0.2,"Muy Baja",IF(Y61&lt;=0.4,"Baja",IF(Y61&lt;=0.6,"Media",IF(Y61&lt;=0.8,"Alta","Muy Alta"))))),"")</f>
        <v/>
      </c>
      <c r="AA61" s="121" t="str">
        <f>+Y61</f>
        <v/>
      </c>
      <c r="AB61" s="120" t="str">
        <f>IFERROR(IF(AC61="","",IF(AC61&lt;=0.2,"Leve",IF(AC61&lt;=0.4,"Menor",IF(AC61&lt;=0.6,"Moderado",IF(AC61&lt;=0.8,"Mayor","Catastrófico"))))),"")</f>
        <v/>
      </c>
      <c r="AC61" s="121" t="str">
        <f>IFERROR(IF(R61="Impacto",(M61-(+M61*U61)),IF(R61="Probabilidad",M61,"")),"")</f>
        <v/>
      </c>
      <c r="AD61" s="122" t="str">
        <f>IFERROR(IF(OR(AND(Z61="Muy Baja",AB61="Leve"),AND(Z61="Muy Baja",AB61="Menor"),AND(Z61="Baja",AB61="Leve")),"Bajo",IF(OR(AND(Z61="Muy baja",AB61="Moderado"),AND(Z61="Baja",AB61="Menor"),AND(Z61="Baja",AB61="Moderado"),AND(Z61="Media",AB61="Leve"),AND(Z61="Media",AB61="Menor"),AND(Z61="Media",AB61="Moderado"),AND(Z61="Alta",AB61="Leve"),AND(Z61="Alta",AB61="Menor")),"Moderado",IF(OR(AND(Z61="Muy Baja",AB61="Mayor"),AND(Z61="Baja",AB61="Mayor"),AND(Z61="Media",AB61="Mayor"),AND(Z61="Alta",AB61="Moderado"),AND(Z61="Alta",AB61="Mayor"),AND(Z61="Muy Alta",AB61="Leve"),AND(Z61="Muy Alta",AB61="Menor"),AND(Z61="Muy Alta",AB61="Moderado"),AND(Z61="Muy Alta",AB61="Mayor")),"Alto",IF(OR(AND(Z61="Muy Baja",AB61="Catastrófico"),AND(Z61="Baja",AB61="Catastrófico"),AND(Z61="Media",AB61="Catastrófico"),AND(Z61="Alta",AB61="Catastrófico"),AND(Z61="Muy Alta",AB61="Catastrófico")),"Extremo","")))),"")</f>
        <v/>
      </c>
      <c r="AE61" s="123"/>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row>
    <row r="62" spans="1:61" x14ac:dyDescent="0.25">
      <c r="A62" s="405"/>
      <c r="B62" s="392"/>
      <c r="C62" s="392"/>
      <c r="D62" s="392"/>
      <c r="E62" s="395"/>
      <c r="F62" s="392"/>
      <c r="G62" s="415"/>
      <c r="H62" s="413"/>
      <c r="I62" s="411"/>
      <c r="J62" s="409"/>
      <c r="K62" s="411">
        <f>IF(NOT(ISERROR(MATCH(J62,_xlfn.ANCHORARRAY(E73),0))),I75&amp;"Por favor no seleccionar los criterios de impacto",J62)</f>
        <v>0</v>
      </c>
      <c r="L62" s="413"/>
      <c r="M62" s="411"/>
      <c r="N62" s="418"/>
      <c r="O62" s="126"/>
      <c r="P62" s="114">
        <v>2</v>
      </c>
      <c r="Q62" s="115"/>
      <c r="R62" s="116" t="str">
        <f>IF(OR(S62="Preventivo",S62="Detectivo"),"Probabilidad",IF(S62="Correctivo","Impacto",""))</f>
        <v/>
      </c>
      <c r="S62" s="117"/>
      <c r="T62" s="117"/>
      <c r="U62" s="118" t="str">
        <f t="shared" ref="U62:U66" si="65">IF(AND(S62="Preventivo",T62="Automático"),"50%",IF(AND(S62="Preventivo",T62="Manual"),"40%",IF(AND(S62="Detectivo",T62="Automático"),"40%",IF(AND(S62="Detectivo",T62="Manual"),"30%",IF(AND(S62="Correctivo",T62="Automático"),"35%",IF(AND(S62="Correctivo",T62="Manual"),"25%",""))))))</f>
        <v/>
      </c>
      <c r="V62" s="117"/>
      <c r="W62" s="117"/>
      <c r="X62" s="117"/>
      <c r="Y62" s="119" t="str">
        <f>IFERROR(IF(AND(R61="Probabilidad",R62="Probabilidad"),(AA61-(+AA61*U62)),IF(R62="Probabilidad",(I61-(+I61*U62)),IF(R62="Impacto",AA61,""))),"")</f>
        <v/>
      </c>
      <c r="Z62" s="120" t="str">
        <f t="shared" si="1"/>
        <v/>
      </c>
      <c r="AA62" s="121" t="str">
        <f t="shared" ref="AA62:AA66" si="66">+Y62</f>
        <v/>
      </c>
      <c r="AB62" s="120" t="str">
        <f t="shared" si="3"/>
        <v/>
      </c>
      <c r="AC62" s="121" t="str">
        <f>IFERROR(IF(AND(R61="Impacto",R62="Impacto"),(AC61-(+AC61*U62)),IF(R62="Impacto",(M61-(+M61*U62)),IF(R62="Probabilidad",AC61,""))),"")</f>
        <v/>
      </c>
      <c r="AD62" s="122" t="str">
        <f t="shared" ref="AD62:AD63" si="67">IFERROR(IF(OR(AND(Z62="Muy Baja",AB62="Leve"),AND(Z62="Muy Baja",AB62="Menor"),AND(Z62="Baja",AB62="Leve")),"Bajo",IF(OR(AND(Z62="Muy baja",AB62="Moderado"),AND(Z62="Baja",AB62="Menor"),AND(Z62="Baja",AB62="Moderado"),AND(Z62="Media",AB62="Leve"),AND(Z62="Media",AB62="Menor"),AND(Z62="Media",AB62="Moderado"),AND(Z62="Alta",AB62="Leve"),AND(Z62="Alta",AB62="Menor")),"Moderado",IF(OR(AND(Z62="Muy Baja",AB62="Mayor"),AND(Z62="Baja",AB62="Mayor"),AND(Z62="Media",AB62="Mayor"),AND(Z62="Alta",AB62="Moderado"),AND(Z62="Alta",AB62="Mayor"),AND(Z62="Muy Alta",AB62="Leve"),AND(Z62="Muy Alta",AB62="Menor"),AND(Z62="Muy Alta",AB62="Moderado"),AND(Z62="Muy Alta",AB62="Mayor")),"Alto",IF(OR(AND(Z62="Muy Baja",AB62="Catastrófico"),AND(Z62="Baja",AB62="Catastrófico"),AND(Z62="Media",AB62="Catastrófico"),AND(Z62="Alta",AB62="Catastrófico"),AND(Z62="Muy Alta",AB62="Catastrófico")),"Extremo","")))),"")</f>
        <v/>
      </c>
      <c r="AE62" s="123"/>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row>
    <row r="63" spans="1:61" x14ac:dyDescent="0.25">
      <c r="A63" s="405"/>
      <c r="B63" s="392"/>
      <c r="C63" s="392"/>
      <c r="D63" s="392"/>
      <c r="E63" s="395"/>
      <c r="F63" s="392"/>
      <c r="G63" s="415"/>
      <c r="H63" s="413"/>
      <c r="I63" s="411"/>
      <c r="J63" s="409"/>
      <c r="K63" s="411">
        <f>IF(NOT(ISERROR(MATCH(J63,_xlfn.ANCHORARRAY(E74),0))),I76&amp;"Por favor no seleccionar los criterios de impacto",J63)</f>
        <v>0</v>
      </c>
      <c r="L63" s="413"/>
      <c r="M63" s="411"/>
      <c r="N63" s="418"/>
      <c r="O63" s="126"/>
      <c r="P63" s="114">
        <v>3</v>
      </c>
      <c r="Q63" s="115"/>
      <c r="R63" s="116" t="str">
        <f>IF(OR(S63="Preventivo",S63="Detectivo"),"Probabilidad",IF(S63="Correctivo","Impacto",""))</f>
        <v/>
      </c>
      <c r="S63" s="117"/>
      <c r="T63" s="117"/>
      <c r="U63" s="118" t="str">
        <f t="shared" si="65"/>
        <v/>
      </c>
      <c r="V63" s="117"/>
      <c r="W63" s="117"/>
      <c r="X63" s="117"/>
      <c r="Y63" s="119" t="str">
        <f>IFERROR(IF(AND(R62="Probabilidad",R63="Probabilidad"),(AA62-(+AA62*U63)),IF(AND(R62="Impacto",R63="Probabilidad"),(AA61-(+AA61*U63)),IF(R63="Impacto",AA62,""))),"")</f>
        <v/>
      </c>
      <c r="Z63" s="120" t="str">
        <f t="shared" si="1"/>
        <v/>
      </c>
      <c r="AA63" s="121" t="str">
        <f t="shared" si="66"/>
        <v/>
      </c>
      <c r="AB63" s="120" t="str">
        <f t="shared" si="3"/>
        <v/>
      </c>
      <c r="AC63" s="121" t="str">
        <f>IFERROR(IF(AND(R62="Impacto",R63="Impacto"),(AC62-(+AC62*U63)),IF(AND(R62="Probabilidad",R63="Impacto"),(AC61-(+AC61*U63)),IF(R63="Probabilidad",AC62,""))),"")</f>
        <v/>
      </c>
      <c r="AD63" s="122" t="str">
        <f t="shared" si="67"/>
        <v/>
      </c>
      <c r="AE63" s="123"/>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row>
    <row r="64" spans="1:61" x14ac:dyDescent="0.25">
      <c r="A64" s="405"/>
      <c r="B64" s="392"/>
      <c r="C64" s="392"/>
      <c r="D64" s="392"/>
      <c r="E64" s="395"/>
      <c r="F64" s="392"/>
      <c r="G64" s="415"/>
      <c r="H64" s="413"/>
      <c r="I64" s="411"/>
      <c r="J64" s="409"/>
      <c r="K64" s="411">
        <f>IF(NOT(ISERROR(MATCH(J64,_xlfn.ANCHORARRAY(E75),0))),I77&amp;"Por favor no seleccionar los criterios de impacto",J64)</f>
        <v>0</v>
      </c>
      <c r="L64" s="413"/>
      <c r="M64" s="411"/>
      <c r="N64" s="418"/>
      <c r="O64" s="126"/>
      <c r="P64" s="114">
        <v>4</v>
      </c>
      <c r="Q64" s="115"/>
      <c r="R64" s="116" t="str">
        <f t="shared" ref="R64:R66" si="68">IF(OR(S64="Preventivo",S64="Detectivo"),"Probabilidad",IF(S64="Correctivo","Impacto",""))</f>
        <v/>
      </c>
      <c r="S64" s="117"/>
      <c r="T64" s="117"/>
      <c r="U64" s="118" t="str">
        <f t="shared" si="65"/>
        <v/>
      </c>
      <c r="V64" s="117"/>
      <c r="W64" s="117"/>
      <c r="X64" s="117"/>
      <c r="Y64" s="119" t="str">
        <f t="shared" ref="Y64:Y66" si="69">IFERROR(IF(AND(R63="Probabilidad",R64="Probabilidad"),(AA63-(+AA63*U64)),IF(AND(R63="Impacto",R64="Probabilidad"),(AA62-(+AA62*U64)),IF(R64="Impacto",AA63,""))),"")</f>
        <v/>
      </c>
      <c r="Z64" s="120" t="str">
        <f t="shared" si="1"/>
        <v/>
      </c>
      <c r="AA64" s="121" t="str">
        <f t="shared" si="66"/>
        <v/>
      </c>
      <c r="AB64" s="120" t="str">
        <f t="shared" si="3"/>
        <v/>
      </c>
      <c r="AC64" s="121" t="str">
        <f t="shared" ref="AC64:AC66" si="70">IFERROR(IF(AND(R63="Impacto",R64="Impacto"),(AC63-(+AC63*U64)),IF(AND(R63="Probabilidad",R64="Impacto"),(AC62-(+AC62*U64)),IF(R64="Probabilidad",AC63,""))),"")</f>
        <v/>
      </c>
      <c r="AD64" s="122" t="str">
        <f>IFERROR(IF(OR(AND(Z64="Muy Baja",AB64="Leve"),AND(Z64="Muy Baja",AB64="Menor"),AND(Z64="Baja",AB64="Leve")),"Bajo",IF(OR(AND(Z64="Muy baja",AB64="Moderado"),AND(Z64="Baja",AB64="Menor"),AND(Z64="Baja",AB64="Moderado"),AND(Z64="Media",AB64="Leve"),AND(Z64="Media",AB64="Menor"),AND(Z64="Media",AB64="Moderado"),AND(Z64="Alta",AB64="Leve"),AND(Z64="Alta",AB64="Menor")),"Moderado",IF(OR(AND(Z64="Muy Baja",AB64="Mayor"),AND(Z64="Baja",AB64="Mayor"),AND(Z64="Media",AB64="Mayor"),AND(Z64="Alta",AB64="Moderado"),AND(Z64="Alta",AB64="Mayor"),AND(Z64="Muy Alta",AB64="Leve"),AND(Z64="Muy Alta",AB64="Menor"),AND(Z64="Muy Alta",AB64="Moderado"),AND(Z64="Muy Alta",AB64="Mayor")),"Alto",IF(OR(AND(Z64="Muy Baja",AB64="Catastrófico"),AND(Z64="Baja",AB64="Catastrófico"),AND(Z64="Media",AB64="Catastrófico"),AND(Z64="Alta",AB64="Catastrófico"),AND(Z64="Muy Alta",AB64="Catastrófico")),"Extremo","")))),"")</f>
        <v/>
      </c>
      <c r="AE64" s="123"/>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row>
    <row r="65" spans="1:61" x14ac:dyDescent="0.25">
      <c r="A65" s="405"/>
      <c r="B65" s="392"/>
      <c r="C65" s="392"/>
      <c r="D65" s="392"/>
      <c r="E65" s="395"/>
      <c r="F65" s="392"/>
      <c r="G65" s="415"/>
      <c r="H65" s="413"/>
      <c r="I65" s="411"/>
      <c r="J65" s="409"/>
      <c r="K65" s="411">
        <f>IF(NOT(ISERROR(MATCH(J65,_xlfn.ANCHORARRAY(E76),0))),I78&amp;"Por favor no seleccionar los criterios de impacto",J65)</f>
        <v>0</v>
      </c>
      <c r="L65" s="413"/>
      <c r="M65" s="411"/>
      <c r="N65" s="418"/>
      <c r="O65" s="126"/>
      <c r="P65" s="114">
        <v>5</v>
      </c>
      <c r="Q65" s="115"/>
      <c r="R65" s="116" t="str">
        <f t="shared" si="68"/>
        <v/>
      </c>
      <c r="S65" s="117"/>
      <c r="T65" s="117"/>
      <c r="U65" s="118" t="str">
        <f t="shared" si="65"/>
        <v/>
      </c>
      <c r="V65" s="117"/>
      <c r="W65" s="117"/>
      <c r="X65" s="117"/>
      <c r="Y65" s="119" t="str">
        <f t="shared" si="69"/>
        <v/>
      </c>
      <c r="Z65" s="120" t="str">
        <f t="shared" si="1"/>
        <v/>
      </c>
      <c r="AA65" s="121" t="str">
        <f t="shared" si="66"/>
        <v/>
      </c>
      <c r="AB65" s="120" t="str">
        <f t="shared" si="3"/>
        <v/>
      </c>
      <c r="AC65" s="121" t="str">
        <f t="shared" si="70"/>
        <v/>
      </c>
      <c r="AD65" s="122" t="str">
        <f t="shared" ref="AD65:AD66" si="71">IFERROR(IF(OR(AND(Z65="Muy Baja",AB65="Leve"),AND(Z65="Muy Baja",AB65="Menor"),AND(Z65="Baja",AB65="Leve")),"Bajo",IF(OR(AND(Z65="Muy baja",AB65="Moderado"),AND(Z65="Baja",AB65="Menor"),AND(Z65="Baja",AB65="Moderado"),AND(Z65="Media",AB65="Leve"),AND(Z65="Media",AB65="Menor"),AND(Z65="Media",AB65="Moderado"),AND(Z65="Alta",AB65="Leve"),AND(Z65="Alta",AB65="Menor")),"Moderado",IF(OR(AND(Z65="Muy Baja",AB65="Mayor"),AND(Z65="Baja",AB65="Mayor"),AND(Z65="Media",AB65="Mayor"),AND(Z65="Alta",AB65="Moderado"),AND(Z65="Alta",AB65="Mayor"),AND(Z65="Muy Alta",AB65="Leve"),AND(Z65="Muy Alta",AB65="Menor"),AND(Z65="Muy Alta",AB65="Moderado"),AND(Z65="Muy Alta",AB65="Mayor")),"Alto",IF(OR(AND(Z65="Muy Baja",AB65="Catastrófico"),AND(Z65="Baja",AB65="Catastrófico"),AND(Z65="Media",AB65="Catastrófico"),AND(Z65="Alta",AB65="Catastrófico"),AND(Z65="Muy Alta",AB65="Catastrófico")),"Extremo","")))),"")</f>
        <v/>
      </c>
      <c r="AE65" s="123"/>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row>
    <row r="66" spans="1:61" x14ac:dyDescent="0.25">
      <c r="A66" s="416"/>
      <c r="B66" s="393"/>
      <c r="C66" s="393"/>
      <c r="D66" s="393"/>
      <c r="E66" s="396"/>
      <c r="F66" s="393"/>
      <c r="G66" s="420"/>
      <c r="H66" s="421"/>
      <c r="I66" s="422"/>
      <c r="J66" s="423"/>
      <c r="K66" s="422">
        <f>IF(NOT(ISERROR(MATCH(J66,_xlfn.ANCHORARRAY(E77),0))),I79&amp;"Por favor no seleccionar los criterios de impacto",J66)</f>
        <v>0</v>
      </c>
      <c r="L66" s="421"/>
      <c r="M66" s="422"/>
      <c r="N66" s="419"/>
      <c r="O66" s="126"/>
      <c r="P66" s="114">
        <v>6</v>
      </c>
      <c r="Q66" s="115"/>
      <c r="R66" s="116" t="str">
        <f t="shared" si="68"/>
        <v/>
      </c>
      <c r="S66" s="117"/>
      <c r="T66" s="117"/>
      <c r="U66" s="118" t="str">
        <f t="shared" si="65"/>
        <v/>
      </c>
      <c r="V66" s="117"/>
      <c r="W66" s="117"/>
      <c r="X66" s="117"/>
      <c r="Y66" s="119" t="str">
        <f t="shared" si="69"/>
        <v/>
      </c>
      <c r="Z66" s="120" t="str">
        <f t="shared" si="1"/>
        <v/>
      </c>
      <c r="AA66" s="121" t="str">
        <f t="shared" si="66"/>
        <v/>
      </c>
      <c r="AB66" s="120" t="str">
        <f t="shared" si="3"/>
        <v/>
      </c>
      <c r="AC66" s="121" t="str">
        <f t="shared" si="70"/>
        <v/>
      </c>
      <c r="AD66" s="122" t="str">
        <f t="shared" si="71"/>
        <v/>
      </c>
      <c r="AE66" s="123"/>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row>
    <row r="67" spans="1:61" x14ac:dyDescent="0.25">
      <c r="A67" s="404">
        <v>10</v>
      </c>
      <c r="B67" s="391"/>
      <c r="C67" s="391"/>
      <c r="D67" s="391"/>
      <c r="E67" s="394"/>
      <c r="F67" s="391"/>
      <c r="G67" s="414"/>
      <c r="H67" s="412" t="str">
        <f>IF(G67&lt;=0,"",IF(G67&lt;=2,"Muy Baja",IF(G67&lt;=24,"Baja",IF(G67&lt;=500,"Media",IF(G67&lt;=5000,"Alta","Muy Alta")))))</f>
        <v/>
      </c>
      <c r="I67" s="410" t="str">
        <f>IF(H67="","",IF(H67="Muy Baja",0.2,IF(H67="Baja",0.4,IF(H67="Media",0.6,IF(H67="Alta",0.8,IF(H67="Muy Alta",1,))))))</f>
        <v/>
      </c>
      <c r="J67" s="408"/>
      <c r="K67" s="410">
        <f>IF(NOT(ISERROR(MATCH(J67,'Tabla Impacto'!$B$221:$B$223,0))),'Tabla Impacto'!$F$223&amp;"Por favor no seleccionar los criterios de impacto(Afectación Económica o presupuestal y Pérdida Reputacional)",J67)</f>
        <v>0</v>
      </c>
      <c r="L67" s="412" t="str">
        <f>IF(OR(K67='Tabla Impacto'!$C$11,K67='Tabla Impacto'!$D$11),"Leve",IF(OR(K67='Tabla Impacto'!$C$12,K67='Tabla Impacto'!$D$12),"Menor",IF(OR(K67='Tabla Impacto'!$C$13,K67='Tabla Impacto'!$D$13),"Moderado",IF(OR(K67='Tabla Impacto'!$C$14,K67='Tabla Impacto'!$D$14),"Mayor",IF(OR(K67='Tabla Impacto'!$C$15,K67='Tabla Impacto'!$D$15),"Catastrófico","")))))</f>
        <v/>
      </c>
      <c r="M67" s="410" t="str">
        <f>IF(L67="","",IF(L67="Leve",0.2,IF(L67="Menor",0.4,IF(L67="Moderado",0.6,IF(L67="Mayor",0.8,IF(L67="Catastrófico",1,))))))</f>
        <v/>
      </c>
      <c r="N67" s="417" t="str">
        <f>IF(OR(AND(H67="Muy Baja",L67="Leve"),AND(H67="Muy Baja",L67="Menor"),AND(H67="Baja",L67="Leve")),"Bajo",IF(OR(AND(H67="Muy baja",L67="Moderado"),AND(H67="Baja",L67="Menor"),AND(H67="Baja",L67="Moderado"),AND(H67="Media",L67="Leve"),AND(H67="Media",L67="Menor"),AND(H67="Media",L67="Moderado"),AND(H67="Alta",L67="Leve"),AND(H67="Alta",L67="Menor")),"Moderado",IF(OR(AND(H67="Muy Baja",L67="Mayor"),AND(H67="Baja",L67="Mayor"),AND(H67="Media",L67="Mayor"),AND(H67="Alta",L67="Moderado"),AND(H67="Alta",L67="Mayor"),AND(H67="Muy Alta",L67="Leve"),AND(H67="Muy Alta",L67="Menor"),AND(H67="Muy Alta",L67="Moderado"),AND(H67="Muy Alta",L67="Mayor")),"Alto",IF(OR(AND(H67="Muy Baja",L67="Catastrófico"),AND(H67="Baja",L67="Catastrófico"),AND(H67="Media",L67="Catastrófico"),AND(H67="Alta",L67="Catastrófico"),AND(H67="Muy Alta",L67="Catastrófico")),"Extremo",""))))</f>
        <v/>
      </c>
      <c r="O67" s="126"/>
      <c r="P67" s="114">
        <v>1</v>
      </c>
      <c r="Q67" s="115"/>
      <c r="R67" s="116" t="str">
        <f>IF(OR(S67="Preventivo",S67="Detectivo"),"Probabilidad",IF(S67="Correctivo","Impacto",""))</f>
        <v/>
      </c>
      <c r="S67" s="117"/>
      <c r="T67" s="117"/>
      <c r="U67" s="118" t="str">
        <f>IF(AND(S67="Preventivo",T67="Automático"),"50%",IF(AND(S67="Preventivo",T67="Manual"),"40%",IF(AND(S67="Detectivo",T67="Automático"),"40%",IF(AND(S67="Detectivo",T67="Manual"),"30%",IF(AND(S67="Correctivo",T67="Automático"),"35%",IF(AND(S67="Correctivo",T67="Manual"),"25%",""))))))</f>
        <v/>
      </c>
      <c r="V67" s="117"/>
      <c r="W67" s="117"/>
      <c r="X67" s="117"/>
      <c r="Y67" s="119" t="str">
        <f>IFERROR(IF(R67="Probabilidad",(I67-(+I67*U67)),IF(R67="Impacto",I67,"")),"")</f>
        <v/>
      </c>
      <c r="Z67" s="120" t="str">
        <f>IFERROR(IF(Y67="","",IF(Y67&lt;=0.2,"Muy Baja",IF(Y67&lt;=0.4,"Baja",IF(Y67&lt;=0.6,"Media",IF(Y67&lt;=0.8,"Alta","Muy Alta"))))),"")</f>
        <v/>
      </c>
      <c r="AA67" s="121" t="str">
        <f>+Y67</f>
        <v/>
      </c>
      <c r="AB67" s="120" t="str">
        <f>IFERROR(IF(AC67="","",IF(AC67&lt;=0.2,"Leve",IF(AC67&lt;=0.4,"Menor",IF(AC67&lt;=0.6,"Moderado",IF(AC67&lt;=0.8,"Mayor","Catastrófico"))))),"")</f>
        <v/>
      </c>
      <c r="AC67" s="121" t="str">
        <f>IFERROR(IF(R67="Impacto",(M67-(+M67*U67)),IF(R67="Probabilidad",M67,"")),"")</f>
        <v/>
      </c>
      <c r="AD67" s="122" t="str">
        <f>IFERROR(IF(OR(AND(Z67="Muy Baja",AB67="Leve"),AND(Z67="Muy Baja",AB67="Menor"),AND(Z67="Baja",AB67="Leve")),"Bajo",IF(OR(AND(Z67="Muy baja",AB67="Moderado"),AND(Z67="Baja",AB67="Menor"),AND(Z67="Baja",AB67="Moderado"),AND(Z67="Media",AB67="Leve"),AND(Z67="Media",AB67="Menor"),AND(Z67="Media",AB67="Moderado"),AND(Z67="Alta",AB67="Leve"),AND(Z67="Alta",AB67="Menor")),"Moderado",IF(OR(AND(Z67="Muy Baja",AB67="Mayor"),AND(Z67="Baja",AB67="Mayor"),AND(Z67="Media",AB67="Mayor"),AND(Z67="Alta",AB67="Moderado"),AND(Z67="Alta",AB67="Mayor"),AND(Z67="Muy Alta",AB67="Leve"),AND(Z67="Muy Alta",AB67="Menor"),AND(Z67="Muy Alta",AB67="Moderado"),AND(Z67="Muy Alta",AB67="Mayor")),"Alto",IF(OR(AND(Z67="Muy Baja",AB67="Catastrófico"),AND(Z67="Baja",AB67="Catastrófico"),AND(Z67="Media",AB67="Catastrófico"),AND(Z67="Alta",AB67="Catastrófico"),AND(Z67="Muy Alta",AB67="Catastrófico")),"Extremo","")))),"")</f>
        <v/>
      </c>
      <c r="AE67" s="123"/>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row>
    <row r="68" spans="1:61" x14ac:dyDescent="0.25">
      <c r="A68" s="405"/>
      <c r="B68" s="392"/>
      <c r="C68" s="392"/>
      <c r="D68" s="392"/>
      <c r="E68" s="395"/>
      <c r="F68" s="392"/>
      <c r="G68" s="415"/>
      <c r="H68" s="413"/>
      <c r="I68" s="411"/>
      <c r="J68" s="409"/>
      <c r="K68" s="411">
        <f>IF(NOT(ISERROR(MATCH(J68,_xlfn.ANCHORARRAY(E79),0))),I81&amp;"Por favor no seleccionar los criterios de impacto",J68)</f>
        <v>0</v>
      </c>
      <c r="L68" s="413"/>
      <c r="M68" s="411"/>
      <c r="N68" s="418"/>
      <c r="O68" s="126"/>
      <c r="P68" s="114">
        <v>2</v>
      </c>
      <c r="Q68" s="115"/>
      <c r="R68" s="116" t="str">
        <f>IF(OR(S68="Preventivo",S68="Detectivo"),"Probabilidad",IF(S68="Correctivo","Impacto",""))</f>
        <v/>
      </c>
      <c r="S68" s="117"/>
      <c r="T68" s="117"/>
      <c r="U68" s="118" t="str">
        <f t="shared" ref="U68:U72" si="72">IF(AND(S68="Preventivo",T68="Automático"),"50%",IF(AND(S68="Preventivo",T68="Manual"),"40%",IF(AND(S68="Detectivo",T68="Automático"),"40%",IF(AND(S68="Detectivo",T68="Manual"),"30%",IF(AND(S68="Correctivo",T68="Automático"),"35%",IF(AND(S68="Correctivo",T68="Manual"),"25%",""))))))</f>
        <v/>
      </c>
      <c r="V68" s="117"/>
      <c r="W68" s="117"/>
      <c r="X68" s="117"/>
      <c r="Y68" s="119" t="str">
        <f>IFERROR(IF(AND(R67="Probabilidad",R68="Probabilidad"),(AA67-(+AA67*U68)),IF(R68="Probabilidad",(I67-(+I67*U68)),IF(R68="Impacto",AA67,""))),"")</f>
        <v/>
      </c>
      <c r="Z68" s="120" t="str">
        <f t="shared" si="1"/>
        <v/>
      </c>
      <c r="AA68" s="121" t="str">
        <f t="shared" ref="AA68:AA72" si="73">+Y68</f>
        <v/>
      </c>
      <c r="AB68" s="120" t="str">
        <f t="shared" si="3"/>
        <v/>
      </c>
      <c r="AC68" s="121" t="str">
        <f>IFERROR(IF(AND(R67="Impacto",R68="Impacto"),(AC67-(+AC67*U68)),IF(R68="Impacto",(M67-(+M67*U68)),IF(R68="Probabilidad",AC67,""))),"")</f>
        <v/>
      </c>
      <c r="AD68" s="122" t="str">
        <f t="shared" ref="AD68:AD69" si="74">IFERROR(IF(OR(AND(Z68="Muy Baja",AB68="Leve"),AND(Z68="Muy Baja",AB68="Menor"),AND(Z68="Baja",AB68="Leve")),"Bajo",IF(OR(AND(Z68="Muy baja",AB68="Moderado"),AND(Z68="Baja",AB68="Menor"),AND(Z68="Baja",AB68="Moderado"),AND(Z68="Media",AB68="Leve"),AND(Z68="Media",AB68="Menor"),AND(Z68="Media",AB68="Moderado"),AND(Z68="Alta",AB68="Leve"),AND(Z68="Alta",AB68="Menor")),"Moderado",IF(OR(AND(Z68="Muy Baja",AB68="Mayor"),AND(Z68="Baja",AB68="Mayor"),AND(Z68="Media",AB68="Mayor"),AND(Z68="Alta",AB68="Moderado"),AND(Z68="Alta",AB68="Mayor"),AND(Z68="Muy Alta",AB68="Leve"),AND(Z68="Muy Alta",AB68="Menor"),AND(Z68="Muy Alta",AB68="Moderado"),AND(Z68="Muy Alta",AB68="Mayor")),"Alto",IF(OR(AND(Z68="Muy Baja",AB68="Catastrófico"),AND(Z68="Baja",AB68="Catastrófico"),AND(Z68="Media",AB68="Catastrófico"),AND(Z68="Alta",AB68="Catastrófico"),AND(Z68="Muy Alta",AB68="Catastrófico")),"Extremo","")))),"")</f>
        <v/>
      </c>
      <c r="AE68" s="123"/>
    </row>
    <row r="69" spans="1:61" x14ac:dyDescent="0.25">
      <c r="A69" s="405"/>
      <c r="B69" s="392"/>
      <c r="C69" s="392"/>
      <c r="D69" s="392"/>
      <c r="E69" s="395"/>
      <c r="F69" s="392"/>
      <c r="G69" s="415"/>
      <c r="H69" s="413"/>
      <c r="I69" s="411"/>
      <c r="J69" s="409"/>
      <c r="K69" s="411">
        <f>IF(NOT(ISERROR(MATCH(J69,_xlfn.ANCHORARRAY(E80),0))),I82&amp;"Por favor no seleccionar los criterios de impacto",J69)</f>
        <v>0</v>
      </c>
      <c r="L69" s="413"/>
      <c r="M69" s="411"/>
      <c r="N69" s="418"/>
      <c r="O69" s="126"/>
      <c r="P69" s="114">
        <v>3</v>
      </c>
      <c r="Q69" s="124"/>
      <c r="R69" s="116" t="str">
        <f>IF(OR(S69="Preventivo",S69="Detectivo"),"Probabilidad",IF(S69="Correctivo","Impacto",""))</f>
        <v/>
      </c>
      <c r="S69" s="117"/>
      <c r="T69" s="117"/>
      <c r="U69" s="118" t="str">
        <f t="shared" si="72"/>
        <v/>
      </c>
      <c r="V69" s="117"/>
      <c r="W69" s="117"/>
      <c r="X69" s="117"/>
      <c r="Y69" s="119" t="str">
        <f>IFERROR(IF(AND(R68="Probabilidad",R69="Probabilidad"),(AA68-(+AA68*U69)),IF(AND(R68="Impacto",R69="Probabilidad"),(AA67-(+AA67*U69)),IF(R69="Impacto",AA68,""))),"")</f>
        <v/>
      </c>
      <c r="Z69" s="120" t="str">
        <f t="shared" si="1"/>
        <v/>
      </c>
      <c r="AA69" s="121" t="str">
        <f t="shared" si="73"/>
        <v/>
      </c>
      <c r="AB69" s="120" t="str">
        <f t="shared" si="3"/>
        <v/>
      </c>
      <c r="AC69" s="121" t="str">
        <f>IFERROR(IF(AND(R68="Impacto",R69="Impacto"),(AC68-(+AC68*U69)),IF(AND(R68="Probabilidad",R69="Impacto"),(AC67-(+AC67*U69)),IF(R69="Probabilidad",AC68,""))),"")</f>
        <v/>
      </c>
      <c r="AD69" s="122" t="str">
        <f t="shared" si="74"/>
        <v/>
      </c>
      <c r="AE69" s="123"/>
    </row>
    <row r="70" spans="1:61" x14ac:dyDescent="0.25">
      <c r="A70" s="405"/>
      <c r="B70" s="392"/>
      <c r="C70" s="392"/>
      <c r="D70" s="392"/>
      <c r="E70" s="395"/>
      <c r="F70" s="392"/>
      <c r="G70" s="415"/>
      <c r="H70" s="413"/>
      <c r="I70" s="411"/>
      <c r="J70" s="409"/>
      <c r="K70" s="411">
        <f>IF(NOT(ISERROR(MATCH(J70,_xlfn.ANCHORARRAY(E81),0))),I83&amp;"Por favor no seleccionar los criterios de impacto",J70)</f>
        <v>0</v>
      </c>
      <c r="L70" s="413"/>
      <c r="M70" s="411"/>
      <c r="N70" s="418"/>
      <c r="O70" s="126"/>
      <c r="P70" s="114">
        <v>4</v>
      </c>
      <c r="Q70" s="115"/>
      <c r="R70" s="116" t="str">
        <f t="shared" ref="R70:R72" si="75">IF(OR(S70="Preventivo",S70="Detectivo"),"Probabilidad",IF(S70="Correctivo","Impacto",""))</f>
        <v/>
      </c>
      <c r="S70" s="117"/>
      <c r="T70" s="117"/>
      <c r="U70" s="118" t="str">
        <f t="shared" si="72"/>
        <v/>
      </c>
      <c r="V70" s="117"/>
      <c r="W70" s="117"/>
      <c r="X70" s="117"/>
      <c r="Y70" s="119" t="str">
        <f t="shared" ref="Y70:Y72" si="76">IFERROR(IF(AND(R69="Probabilidad",R70="Probabilidad"),(AA69-(+AA69*U70)),IF(AND(R69="Impacto",R70="Probabilidad"),(AA68-(+AA68*U70)),IF(R70="Impacto",AA69,""))),"")</f>
        <v/>
      </c>
      <c r="Z70" s="120" t="str">
        <f t="shared" si="1"/>
        <v/>
      </c>
      <c r="AA70" s="121" t="str">
        <f t="shared" si="73"/>
        <v/>
      </c>
      <c r="AB70" s="120" t="str">
        <f t="shared" si="3"/>
        <v/>
      </c>
      <c r="AC70" s="121" t="str">
        <f t="shared" ref="AC70:AC72" si="77">IFERROR(IF(AND(R69="Impacto",R70="Impacto"),(AC69-(+AC69*U70)),IF(AND(R69="Probabilidad",R70="Impacto"),(AC68-(+AC68*U70)),IF(R70="Probabilidad",AC69,""))),"")</f>
        <v/>
      </c>
      <c r="AD70" s="122" t="str">
        <f>IFERROR(IF(OR(AND(Z70="Muy Baja",AB70="Leve"),AND(Z70="Muy Baja",AB70="Menor"),AND(Z70="Baja",AB70="Leve")),"Bajo",IF(OR(AND(Z70="Muy baja",AB70="Moderado"),AND(Z70="Baja",AB70="Menor"),AND(Z70="Baja",AB70="Moderado"),AND(Z70="Media",AB70="Leve"),AND(Z70="Media",AB70="Menor"),AND(Z70="Media",AB70="Moderado"),AND(Z70="Alta",AB70="Leve"),AND(Z70="Alta",AB70="Menor")),"Moderado",IF(OR(AND(Z70="Muy Baja",AB70="Mayor"),AND(Z70="Baja",AB70="Mayor"),AND(Z70="Media",AB70="Mayor"),AND(Z70="Alta",AB70="Moderado"),AND(Z70="Alta",AB70="Mayor"),AND(Z70="Muy Alta",AB70="Leve"),AND(Z70="Muy Alta",AB70="Menor"),AND(Z70="Muy Alta",AB70="Moderado"),AND(Z70="Muy Alta",AB70="Mayor")),"Alto",IF(OR(AND(Z70="Muy Baja",AB70="Catastrófico"),AND(Z70="Baja",AB70="Catastrófico"),AND(Z70="Media",AB70="Catastrófico"),AND(Z70="Alta",AB70="Catastrófico"),AND(Z70="Muy Alta",AB70="Catastrófico")),"Extremo","")))),"")</f>
        <v/>
      </c>
      <c r="AE70" s="123"/>
    </row>
    <row r="71" spans="1:61" x14ac:dyDescent="0.25">
      <c r="A71" s="405"/>
      <c r="B71" s="392"/>
      <c r="C71" s="392"/>
      <c r="D71" s="392"/>
      <c r="E71" s="395"/>
      <c r="F71" s="392"/>
      <c r="G71" s="415"/>
      <c r="H71" s="413"/>
      <c r="I71" s="411"/>
      <c r="J71" s="409"/>
      <c r="K71" s="411">
        <f>IF(NOT(ISERROR(MATCH(J71,_xlfn.ANCHORARRAY(E82),0))),I84&amp;"Por favor no seleccionar los criterios de impacto",J71)</f>
        <v>0</v>
      </c>
      <c r="L71" s="413"/>
      <c r="M71" s="411"/>
      <c r="N71" s="418"/>
      <c r="O71" s="126"/>
      <c r="P71" s="114">
        <v>5</v>
      </c>
      <c r="Q71" s="115"/>
      <c r="R71" s="116" t="str">
        <f t="shared" si="75"/>
        <v/>
      </c>
      <c r="S71" s="117"/>
      <c r="T71" s="117"/>
      <c r="U71" s="118" t="str">
        <f t="shared" si="72"/>
        <v/>
      </c>
      <c r="V71" s="117"/>
      <c r="W71" s="117"/>
      <c r="X71" s="117"/>
      <c r="Y71" s="119" t="str">
        <f t="shared" si="76"/>
        <v/>
      </c>
      <c r="Z71" s="120" t="str">
        <f t="shared" si="1"/>
        <v/>
      </c>
      <c r="AA71" s="121" t="str">
        <f t="shared" si="73"/>
        <v/>
      </c>
      <c r="AB71" s="120" t="str">
        <f t="shared" si="3"/>
        <v/>
      </c>
      <c r="AC71" s="121" t="str">
        <f t="shared" si="77"/>
        <v/>
      </c>
      <c r="AD71" s="122" t="str">
        <f t="shared" ref="AD71:AD72" si="78">IFERROR(IF(OR(AND(Z71="Muy Baja",AB71="Leve"),AND(Z71="Muy Baja",AB71="Menor"),AND(Z71="Baja",AB71="Leve")),"Bajo",IF(OR(AND(Z71="Muy baja",AB71="Moderado"),AND(Z71="Baja",AB71="Menor"),AND(Z71="Baja",AB71="Moderado"),AND(Z71="Media",AB71="Leve"),AND(Z71="Media",AB71="Menor"),AND(Z71="Media",AB71="Moderado"),AND(Z71="Alta",AB71="Leve"),AND(Z71="Alta",AB71="Menor")),"Moderado",IF(OR(AND(Z71="Muy Baja",AB71="Mayor"),AND(Z71="Baja",AB71="Mayor"),AND(Z71="Media",AB71="Mayor"),AND(Z71="Alta",AB71="Moderado"),AND(Z71="Alta",AB71="Mayor"),AND(Z71="Muy Alta",AB71="Leve"),AND(Z71="Muy Alta",AB71="Menor"),AND(Z71="Muy Alta",AB71="Moderado"),AND(Z71="Muy Alta",AB71="Mayor")),"Alto",IF(OR(AND(Z71="Muy Baja",AB71="Catastrófico"),AND(Z71="Baja",AB71="Catastrófico"),AND(Z71="Media",AB71="Catastrófico"),AND(Z71="Alta",AB71="Catastrófico"),AND(Z71="Muy Alta",AB71="Catastrófico")),"Extremo","")))),"")</f>
        <v/>
      </c>
      <c r="AE71" s="123"/>
    </row>
    <row r="72" spans="1:61" x14ac:dyDescent="0.25">
      <c r="A72" s="416"/>
      <c r="B72" s="393"/>
      <c r="C72" s="393"/>
      <c r="D72" s="393"/>
      <c r="E72" s="396"/>
      <c r="F72" s="393"/>
      <c r="G72" s="420"/>
      <c r="H72" s="421"/>
      <c r="I72" s="422"/>
      <c r="J72" s="423"/>
      <c r="K72" s="422">
        <f>IF(NOT(ISERROR(MATCH(J72,_xlfn.ANCHORARRAY(E83),0))),I85&amp;"Por favor no seleccionar los criterios de impacto",J72)</f>
        <v>0</v>
      </c>
      <c r="L72" s="421"/>
      <c r="M72" s="422"/>
      <c r="N72" s="419"/>
      <c r="O72" s="126"/>
      <c r="P72" s="114">
        <v>6</v>
      </c>
      <c r="Q72" s="115"/>
      <c r="R72" s="116" t="str">
        <f t="shared" si="75"/>
        <v/>
      </c>
      <c r="S72" s="117"/>
      <c r="T72" s="117"/>
      <c r="U72" s="118" t="str">
        <f t="shared" si="72"/>
        <v/>
      </c>
      <c r="V72" s="117"/>
      <c r="W72" s="117"/>
      <c r="X72" s="117"/>
      <c r="Y72" s="119" t="str">
        <f t="shared" si="76"/>
        <v/>
      </c>
      <c r="Z72" s="120" t="str">
        <f t="shared" si="1"/>
        <v/>
      </c>
      <c r="AA72" s="121" t="str">
        <f t="shared" si="73"/>
        <v/>
      </c>
      <c r="AB72" s="120" t="str">
        <f t="shared" si="3"/>
        <v/>
      </c>
      <c r="AC72" s="121" t="str">
        <f t="shared" si="77"/>
        <v/>
      </c>
      <c r="AD72" s="122" t="str">
        <f t="shared" si="78"/>
        <v/>
      </c>
      <c r="AE72" s="123"/>
    </row>
    <row r="73" spans="1:61" x14ac:dyDescent="0.25">
      <c r="A73" s="6"/>
      <c r="B73" s="424"/>
      <c r="C73" s="424"/>
      <c r="D73" s="424"/>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row>
    <row r="75" spans="1:61" x14ac:dyDescent="0.25">
      <c r="A75" s="1"/>
      <c r="B75" s="24"/>
      <c r="C75" s="1"/>
      <c r="D75" s="1"/>
      <c r="F75" s="1"/>
    </row>
  </sheetData>
  <protectedRanges>
    <protectedRange sqref="AB2:AB3" name="Rango2_2"/>
  </protectedRanges>
  <dataConsolidate/>
  <mergeCells count="179">
    <mergeCell ref="AE11:AE12"/>
    <mergeCell ref="C8:N8"/>
    <mergeCell ref="C9:N9"/>
    <mergeCell ref="P11:P12"/>
    <mergeCell ref="AD11:AD12"/>
    <mergeCell ref="AC11:AC12"/>
    <mergeCell ref="Y11:Y12"/>
    <mergeCell ref="Q11:Q12"/>
    <mergeCell ref="AB11:AB12"/>
    <mergeCell ref="Z11:Z12"/>
    <mergeCell ref="AA11:AA12"/>
    <mergeCell ref="G11:G12"/>
    <mergeCell ref="H11:H12"/>
    <mergeCell ref="I11:I12"/>
    <mergeCell ref="L11:L12"/>
    <mergeCell ref="R11:R12"/>
    <mergeCell ref="S11:X11"/>
    <mergeCell ref="C7:N7"/>
    <mergeCell ref="P7:R7"/>
    <mergeCell ref="A4:AE5"/>
    <mergeCell ref="A10:G10"/>
    <mergeCell ref="H10:N10"/>
    <mergeCell ref="P10:X10"/>
    <mergeCell ref="Y10:AE10"/>
    <mergeCell ref="AB2:AE2"/>
    <mergeCell ref="AB3:AE3"/>
    <mergeCell ref="A1:AA3"/>
    <mergeCell ref="B73:AE73"/>
    <mergeCell ref="M61:M66"/>
    <mergeCell ref="N61:N66"/>
    <mergeCell ref="A67:A72"/>
    <mergeCell ref="B67:B72"/>
    <mergeCell ref="C67:C72"/>
    <mergeCell ref="D67:D72"/>
    <mergeCell ref="E67:E72"/>
    <mergeCell ref="F67:F72"/>
    <mergeCell ref="G67:G72"/>
    <mergeCell ref="H67:H72"/>
    <mergeCell ref="I67:I72"/>
    <mergeCell ref="J67:J72"/>
    <mergeCell ref="K67:K72"/>
    <mergeCell ref="L67:L72"/>
    <mergeCell ref="M67:M72"/>
    <mergeCell ref="N67:N72"/>
    <mergeCell ref="J61:J66"/>
    <mergeCell ref="K61:K66"/>
    <mergeCell ref="L61:L66"/>
    <mergeCell ref="A61:A66"/>
    <mergeCell ref="B61:B66"/>
    <mergeCell ref="C61:C66"/>
    <mergeCell ref="D61:D66"/>
    <mergeCell ref="E61:E66"/>
    <mergeCell ref="F61:F66"/>
    <mergeCell ref="G61:G66"/>
    <mergeCell ref="H61:H66"/>
    <mergeCell ref="I61:I66"/>
    <mergeCell ref="M49:M54"/>
    <mergeCell ref="N49:N54"/>
    <mergeCell ref="F55:F60"/>
    <mergeCell ref="G55:G60"/>
    <mergeCell ref="H55:H60"/>
    <mergeCell ref="I55:I60"/>
    <mergeCell ref="J55:J60"/>
    <mergeCell ref="F49:F54"/>
    <mergeCell ref="G49:G54"/>
    <mergeCell ref="H49:H54"/>
    <mergeCell ref="I49:I54"/>
    <mergeCell ref="K55:K60"/>
    <mergeCell ref="L55:L60"/>
    <mergeCell ref="M55:M60"/>
    <mergeCell ref="N55:N60"/>
    <mergeCell ref="J49:J54"/>
    <mergeCell ref="K49:K54"/>
    <mergeCell ref="L49:L54"/>
    <mergeCell ref="A37:A42"/>
    <mergeCell ref="B37:B42"/>
    <mergeCell ref="C37:C42"/>
    <mergeCell ref="A43:A48"/>
    <mergeCell ref="B43:B48"/>
    <mergeCell ref="C43:C48"/>
    <mergeCell ref="D43:D48"/>
    <mergeCell ref="E43:E48"/>
    <mergeCell ref="A55:A60"/>
    <mergeCell ref="B55:B60"/>
    <mergeCell ref="C55:C60"/>
    <mergeCell ref="D55:D60"/>
    <mergeCell ref="E55:E60"/>
    <mergeCell ref="A49:A54"/>
    <mergeCell ref="B49:B54"/>
    <mergeCell ref="C49:C54"/>
    <mergeCell ref="D49:D54"/>
    <mergeCell ref="E49:E54"/>
    <mergeCell ref="M37:M42"/>
    <mergeCell ref="N37:N42"/>
    <mergeCell ref="M43:M48"/>
    <mergeCell ref="N43:N48"/>
    <mergeCell ref="F43:F48"/>
    <mergeCell ref="D37:D42"/>
    <mergeCell ref="E37:E42"/>
    <mergeCell ref="J43:J48"/>
    <mergeCell ref="K43:K48"/>
    <mergeCell ref="L43:L48"/>
    <mergeCell ref="F37:F42"/>
    <mergeCell ref="G37:G42"/>
    <mergeCell ref="H37:H42"/>
    <mergeCell ref="I37:I42"/>
    <mergeCell ref="J37:J42"/>
    <mergeCell ref="G43:G48"/>
    <mergeCell ref="H43:H48"/>
    <mergeCell ref="I43:I48"/>
    <mergeCell ref="K37:K42"/>
    <mergeCell ref="L37:L42"/>
    <mergeCell ref="M25:M30"/>
    <mergeCell ref="N25:N30"/>
    <mergeCell ref="K19:K24"/>
    <mergeCell ref="A31:A36"/>
    <mergeCell ref="B31:B36"/>
    <mergeCell ref="C31:C36"/>
    <mergeCell ref="D31:D36"/>
    <mergeCell ref="E31:E36"/>
    <mergeCell ref="F31:F36"/>
    <mergeCell ref="G31:G36"/>
    <mergeCell ref="H31:H36"/>
    <mergeCell ref="I31:I36"/>
    <mergeCell ref="J31:J36"/>
    <mergeCell ref="K31:K36"/>
    <mergeCell ref="L31:L36"/>
    <mergeCell ref="M31:M36"/>
    <mergeCell ref="N31:N36"/>
    <mergeCell ref="L19:L24"/>
    <mergeCell ref="M19:M24"/>
    <mergeCell ref="N13:N18"/>
    <mergeCell ref="I13:I18"/>
    <mergeCell ref="O11:O12"/>
    <mergeCell ref="N11:N12"/>
    <mergeCell ref="J11:J12"/>
    <mergeCell ref="K11:K12"/>
    <mergeCell ref="N19:N24"/>
    <mergeCell ref="A25:A30"/>
    <mergeCell ref="B25:B30"/>
    <mergeCell ref="C25:C30"/>
    <mergeCell ref="D25:D30"/>
    <mergeCell ref="E25:E30"/>
    <mergeCell ref="F25:F30"/>
    <mergeCell ref="G25:G30"/>
    <mergeCell ref="H25:H30"/>
    <mergeCell ref="I25:I30"/>
    <mergeCell ref="J25:J30"/>
    <mergeCell ref="K25:K30"/>
    <mergeCell ref="L25:L30"/>
    <mergeCell ref="F19:F24"/>
    <mergeCell ref="G19:G24"/>
    <mergeCell ref="H19:H24"/>
    <mergeCell ref="I19:I24"/>
    <mergeCell ref="J19:J24"/>
    <mergeCell ref="B11:B12"/>
    <mergeCell ref="M11:M12"/>
    <mergeCell ref="B13:B18"/>
    <mergeCell ref="D19:D24"/>
    <mergeCell ref="E19:E24"/>
    <mergeCell ref="A11:A12"/>
    <mergeCell ref="F11:F12"/>
    <mergeCell ref="E11:E12"/>
    <mergeCell ref="D11:D12"/>
    <mergeCell ref="C11:C12"/>
    <mergeCell ref="A13:A18"/>
    <mergeCell ref="F13:F18"/>
    <mergeCell ref="C13:C18"/>
    <mergeCell ref="D13:D18"/>
    <mergeCell ref="E13:E18"/>
    <mergeCell ref="J13:J18"/>
    <mergeCell ref="K13:K18"/>
    <mergeCell ref="L13:L18"/>
    <mergeCell ref="M13:M18"/>
    <mergeCell ref="G13:G18"/>
    <mergeCell ref="H13:H18"/>
    <mergeCell ref="A19:A24"/>
    <mergeCell ref="B19:B24"/>
    <mergeCell ref="C19:C24"/>
  </mergeCells>
  <conditionalFormatting sqref="H13 H19">
    <cfRule type="cellIs" dxfId="332" priority="393" operator="equal">
      <formula>"Muy Alta"</formula>
    </cfRule>
    <cfRule type="cellIs" dxfId="331" priority="394" operator="equal">
      <formula>"Alta"</formula>
    </cfRule>
    <cfRule type="cellIs" dxfId="330" priority="395" operator="equal">
      <formula>"Media"</formula>
    </cfRule>
    <cfRule type="cellIs" dxfId="329" priority="396" operator="equal">
      <formula>"Baja"</formula>
    </cfRule>
    <cfRule type="cellIs" dxfId="328" priority="397" operator="equal">
      <formula>"Muy Baja"</formula>
    </cfRule>
  </conditionalFormatting>
  <conditionalFormatting sqref="L13 L19 L25 L31 L37 L43 L49 L55 L61 L67">
    <cfRule type="cellIs" dxfId="327" priority="388" operator="equal">
      <formula>"Catastrófico"</formula>
    </cfRule>
    <cfRule type="cellIs" dxfId="326" priority="389" operator="equal">
      <formula>"Mayor"</formula>
    </cfRule>
    <cfRule type="cellIs" dxfId="325" priority="390" operator="equal">
      <formula>"Moderado"</formula>
    </cfRule>
    <cfRule type="cellIs" dxfId="324" priority="391" operator="equal">
      <formula>"Menor"</formula>
    </cfRule>
    <cfRule type="cellIs" dxfId="323" priority="392" operator="equal">
      <formula>"Leve"</formula>
    </cfRule>
  </conditionalFormatting>
  <conditionalFormatting sqref="N13">
    <cfRule type="cellIs" dxfId="322" priority="384" operator="equal">
      <formula>"Extremo"</formula>
    </cfRule>
    <cfRule type="cellIs" dxfId="321" priority="385" operator="equal">
      <formula>"Alto"</formula>
    </cfRule>
    <cfRule type="cellIs" dxfId="320" priority="386" operator="equal">
      <formula>"Moderado"</formula>
    </cfRule>
    <cfRule type="cellIs" dxfId="319" priority="387" operator="equal">
      <formula>"Bajo"</formula>
    </cfRule>
  </conditionalFormatting>
  <conditionalFormatting sqref="Z13:Z17">
    <cfRule type="cellIs" dxfId="318" priority="379" operator="equal">
      <formula>"Muy Alta"</formula>
    </cfRule>
    <cfRule type="cellIs" dxfId="317" priority="380" operator="equal">
      <formula>"Alta"</formula>
    </cfRule>
    <cfRule type="cellIs" dxfId="316" priority="381" operator="equal">
      <formula>"Media"</formula>
    </cfRule>
    <cfRule type="cellIs" dxfId="315" priority="382" operator="equal">
      <formula>"Baja"</formula>
    </cfRule>
    <cfRule type="cellIs" dxfId="314" priority="383" operator="equal">
      <formula>"Muy Baja"</formula>
    </cfRule>
  </conditionalFormatting>
  <conditionalFormatting sqref="AB13:AB17">
    <cfRule type="cellIs" dxfId="313" priority="374" operator="equal">
      <formula>"Catastrófico"</formula>
    </cfRule>
    <cfRule type="cellIs" dxfId="312" priority="375" operator="equal">
      <formula>"Mayor"</formula>
    </cfRule>
    <cfRule type="cellIs" dxfId="311" priority="376" operator="equal">
      <formula>"Moderado"</formula>
    </cfRule>
    <cfRule type="cellIs" dxfId="310" priority="377" operator="equal">
      <formula>"Menor"</formula>
    </cfRule>
    <cfRule type="cellIs" dxfId="309" priority="378" operator="equal">
      <formula>"Leve"</formula>
    </cfRule>
  </conditionalFormatting>
  <conditionalFormatting sqref="AD13:AD17">
    <cfRule type="cellIs" dxfId="308" priority="370" operator="equal">
      <formula>"Extremo"</formula>
    </cfRule>
    <cfRule type="cellIs" dxfId="307" priority="371" operator="equal">
      <formula>"Alto"</formula>
    </cfRule>
    <cfRule type="cellIs" dxfId="306" priority="372" operator="equal">
      <formula>"Moderado"</formula>
    </cfRule>
    <cfRule type="cellIs" dxfId="305" priority="373" operator="equal">
      <formula>"Bajo"</formula>
    </cfRule>
  </conditionalFormatting>
  <conditionalFormatting sqref="H61">
    <cfRule type="cellIs" dxfId="304" priority="127" operator="equal">
      <formula>"Muy Alta"</formula>
    </cfRule>
    <cfRule type="cellIs" dxfId="303" priority="128" operator="equal">
      <formula>"Alta"</formula>
    </cfRule>
    <cfRule type="cellIs" dxfId="302" priority="129" operator="equal">
      <formula>"Media"</formula>
    </cfRule>
    <cfRule type="cellIs" dxfId="301" priority="130" operator="equal">
      <formula>"Baja"</formula>
    </cfRule>
    <cfRule type="cellIs" dxfId="300" priority="131" operator="equal">
      <formula>"Muy Baja"</formula>
    </cfRule>
  </conditionalFormatting>
  <conditionalFormatting sqref="N19">
    <cfRule type="cellIs" dxfId="299" priority="314" operator="equal">
      <formula>"Extremo"</formula>
    </cfRule>
    <cfRule type="cellIs" dxfId="298" priority="315" operator="equal">
      <formula>"Alto"</formula>
    </cfRule>
    <cfRule type="cellIs" dxfId="297" priority="316" operator="equal">
      <formula>"Moderado"</formula>
    </cfRule>
    <cfRule type="cellIs" dxfId="296" priority="317" operator="equal">
      <formula>"Bajo"</formula>
    </cfRule>
  </conditionalFormatting>
  <conditionalFormatting sqref="Z19:Z24">
    <cfRule type="cellIs" dxfId="295" priority="309" operator="equal">
      <formula>"Muy Alta"</formula>
    </cfRule>
    <cfRule type="cellIs" dxfId="294" priority="310" operator="equal">
      <formula>"Alta"</formula>
    </cfRule>
    <cfRule type="cellIs" dxfId="293" priority="311" operator="equal">
      <formula>"Media"</formula>
    </cfRule>
    <cfRule type="cellIs" dxfId="292" priority="312" operator="equal">
      <formula>"Baja"</formula>
    </cfRule>
    <cfRule type="cellIs" dxfId="291" priority="313" operator="equal">
      <formula>"Muy Baja"</formula>
    </cfRule>
  </conditionalFormatting>
  <conditionalFormatting sqref="AB19:AB24">
    <cfRule type="cellIs" dxfId="290" priority="304" operator="equal">
      <formula>"Catastrófico"</formula>
    </cfRule>
    <cfRule type="cellIs" dxfId="289" priority="305" operator="equal">
      <formula>"Mayor"</formula>
    </cfRule>
    <cfRule type="cellIs" dxfId="288" priority="306" operator="equal">
      <formula>"Moderado"</formula>
    </cfRule>
    <cfRule type="cellIs" dxfId="287" priority="307" operator="equal">
      <formula>"Menor"</formula>
    </cfRule>
    <cfRule type="cellIs" dxfId="286" priority="308" operator="equal">
      <formula>"Leve"</formula>
    </cfRule>
  </conditionalFormatting>
  <conditionalFormatting sqref="AD19:AD24">
    <cfRule type="cellIs" dxfId="285" priority="300" operator="equal">
      <formula>"Extremo"</formula>
    </cfRule>
    <cfRule type="cellIs" dxfId="284" priority="301" operator="equal">
      <formula>"Alto"</formula>
    </cfRule>
    <cfRule type="cellIs" dxfId="283" priority="302" operator="equal">
      <formula>"Moderado"</formula>
    </cfRule>
    <cfRule type="cellIs" dxfId="282" priority="303" operator="equal">
      <formula>"Bajo"</formula>
    </cfRule>
  </conditionalFormatting>
  <conditionalFormatting sqref="H25">
    <cfRule type="cellIs" dxfId="281" priority="295" operator="equal">
      <formula>"Muy Alta"</formula>
    </cfRule>
    <cfRule type="cellIs" dxfId="280" priority="296" operator="equal">
      <formula>"Alta"</formula>
    </cfRule>
    <cfRule type="cellIs" dxfId="279" priority="297" operator="equal">
      <formula>"Media"</formula>
    </cfRule>
    <cfRule type="cellIs" dxfId="278" priority="298" operator="equal">
      <formula>"Baja"</formula>
    </cfRule>
    <cfRule type="cellIs" dxfId="277" priority="299" operator="equal">
      <formula>"Muy Baja"</formula>
    </cfRule>
  </conditionalFormatting>
  <conditionalFormatting sqref="N25">
    <cfRule type="cellIs" dxfId="276" priority="286" operator="equal">
      <formula>"Extremo"</formula>
    </cfRule>
    <cfRule type="cellIs" dxfId="275" priority="287" operator="equal">
      <formula>"Alto"</formula>
    </cfRule>
    <cfRule type="cellIs" dxfId="274" priority="288" operator="equal">
      <formula>"Moderado"</formula>
    </cfRule>
    <cfRule type="cellIs" dxfId="273" priority="289" operator="equal">
      <formula>"Bajo"</formula>
    </cfRule>
  </conditionalFormatting>
  <conditionalFormatting sqref="Z25:Z30">
    <cfRule type="cellIs" dxfId="272" priority="281" operator="equal">
      <formula>"Muy Alta"</formula>
    </cfRule>
    <cfRule type="cellIs" dxfId="271" priority="282" operator="equal">
      <formula>"Alta"</formula>
    </cfRule>
    <cfRule type="cellIs" dxfId="270" priority="283" operator="equal">
      <formula>"Media"</formula>
    </cfRule>
    <cfRule type="cellIs" dxfId="269" priority="284" operator="equal">
      <formula>"Baja"</formula>
    </cfRule>
    <cfRule type="cellIs" dxfId="268" priority="285" operator="equal">
      <formula>"Muy Baja"</formula>
    </cfRule>
  </conditionalFormatting>
  <conditionalFormatting sqref="AB25:AB30">
    <cfRule type="cellIs" dxfId="267" priority="276" operator="equal">
      <formula>"Catastrófico"</formula>
    </cfRule>
    <cfRule type="cellIs" dxfId="266" priority="277" operator="equal">
      <formula>"Mayor"</formula>
    </cfRule>
    <cfRule type="cellIs" dxfId="265" priority="278" operator="equal">
      <formula>"Moderado"</formula>
    </cfRule>
    <cfRule type="cellIs" dxfId="264" priority="279" operator="equal">
      <formula>"Menor"</formula>
    </cfRule>
    <cfRule type="cellIs" dxfId="263" priority="280" operator="equal">
      <formula>"Leve"</formula>
    </cfRule>
  </conditionalFormatting>
  <conditionalFormatting sqref="AD25:AD30">
    <cfRule type="cellIs" dxfId="262" priority="272" operator="equal">
      <formula>"Extremo"</formula>
    </cfRule>
    <cfRule type="cellIs" dxfId="261" priority="273" operator="equal">
      <formula>"Alto"</formula>
    </cfRule>
    <cfRule type="cellIs" dxfId="260" priority="274" operator="equal">
      <formula>"Moderado"</formula>
    </cfRule>
    <cfRule type="cellIs" dxfId="259" priority="275" operator="equal">
      <formula>"Bajo"</formula>
    </cfRule>
  </conditionalFormatting>
  <conditionalFormatting sqref="H31">
    <cfRule type="cellIs" dxfId="258" priority="267" operator="equal">
      <formula>"Muy Alta"</formula>
    </cfRule>
    <cfRule type="cellIs" dxfId="257" priority="268" operator="equal">
      <formula>"Alta"</formula>
    </cfRule>
    <cfRule type="cellIs" dxfId="256" priority="269" operator="equal">
      <formula>"Media"</formula>
    </cfRule>
    <cfRule type="cellIs" dxfId="255" priority="270" operator="equal">
      <formula>"Baja"</formula>
    </cfRule>
    <cfRule type="cellIs" dxfId="254" priority="271" operator="equal">
      <formula>"Muy Baja"</formula>
    </cfRule>
  </conditionalFormatting>
  <conditionalFormatting sqref="N31">
    <cfRule type="cellIs" dxfId="253" priority="258" operator="equal">
      <formula>"Extremo"</formula>
    </cfRule>
    <cfRule type="cellIs" dxfId="252" priority="259" operator="equal">
      <formula>"Alto"</formula>
    </cfRule>
    <cfRule type="cellIs" dxfId="251" priority="260" operator="equal">
      <formula>"Moderado"</formula>
    </cfRule>
    <cfRule type="cellIs" dxfId="250" priority="261" operator="equal">
      <formula>"Bajo"</formula>
    </cfRule>
  </conditionalFormatting>
  <conditionalFormatting sqref="Z31:Z36">
    <cfRule type="cellIs" dxfId="249" priority="253" operator="equal">
      <formula>"Muy Alta"</formula>
    </cfRule>
    <cfRule type="cellIs" dxfId="248" priority="254" operator="equal">
      <formula>"Alta"</formula>
    </cfRule>
    <cfRule type="cellIs" dxfId="247" priority="255" operator="equal">
      <formula>"Media"</formula>
    </cfRule>
    <cfRule type="cellIs" dxfId="246" priority="256" operator="equal">
      <formula>"Baja"</formula>
    </cfRule>
    <cfRule type="cellIs" dxfId="245" priority="257" operator="equal">
      <formula>"Muy Baja"</formula>
    </cfRule>
  </conditionalFormatting>
  <conditionalFormatting sqref="AB31:AB36">
    <cfRule type="cellIs" dxfId="244" priority="248" operator="equal">
      <formula>"Catastrófico"</formula>
    </cfRule>
    <cfRule type="cellIs" dxfId="243" priority="249" operator="equal">
      <formula>"Mayor"</formula>
    </cfRule>
    <cfRule type="cellIs" dxfId="242" priority="250" operator="equal">
      <formula>"Moderado"</formula>
    </cfRule>
    <cfRule type="cellIs" dxfId="241" priority="251" operator="equal">
      <formula>"Menor"</formula>
    </cfRule>
    <cfRule type="cellIs" dxfId="240" priority="252" operator="equal">
      <formula>"Leve"</formula>
    </cfRule>
  </conditionalFormatting>
  <conditionalFormatting sqref="AD31:AD36">
    <cfRule type="cellIs" dxfId="239" priority="244" operator="equal">
      <formula>"Extremo"</formula>
    </cfRule>
    <cfRule type="cellIs" dxfId="238" priority="245" operator="equal">
      <formula>"Alto"</formula>
    </cfRule>
    <cfRule type="cellIs" dxfId="237" priority="246" operator="equal">
      <formula>"Moderado"</formula>
    </cfRule>
    <cfRule type="cellIs" dxfId="236" priority="247" operator="equal">
      <formula>"Bajo"</formula>
    </cfRule>
  </conditionalFormatting>
  <conditionalFormatting sqref="H37">
    <cfRule type="cellIs" dxfId="235" priority="239" operator="equal">
      <formula>"Muy Alta"</formula>
    </cfRule>
    <cfRule type="cellIs" dxfId="234" priority="240" operator="equal">
      <formula>"Alta"</formula>
    </cfRule>
    <cfRule type="cellIs" dxfId="233" priority="241" operator="equal">
      <formula>"Media"</formula>
    </cfRule>
    <cfRule type="cellIs" dxfId="232" priority="242" operator="equal">
      <formula>"Baja"</formula>
    </cfRule>
    <cfRule type="cellIs" dxfId="231" priority="243" operator="equal">
      <formula>"Muy Baja"</formula>
    </cfRule>
  </conditionalFormatting>
  <conditionalFormatting sqref="N37">
    <cfRule type="cellIs" dxfId="230" priority="230" operator="equal">
      <formula>"Extremo"</formula>
    </cfRule>
    <cfRule type="cellIs" dxfId="229" priority="231" operator="equal">
      <formula>"Alto"</formula>
    </cfRule>
    <cfRule type="cellIs" dxfId="228" priority="232" operator="equal">
      <formula>"Moderado"</formula>
    </cfRule>
    <cfRule type="cellIs" dxfId="227" priority="233" operator="equal">
      <formula>"Bajo"</formula>
    </cfRule>
  </conditionalFormatting>
  <conditionalFormatting sqref="Z37:Z42">
    <cfRule type="cellIs" dxfId="226" priority="225" operator="equal">
      <formula>"Muy Alta"</formula>
    </cfRule>
    <cfRule type="cellIs" dxfId="225" priority="226" operator="equal">
      <formula>"Alta"</formula>
    </cfRule>
    <cfRule type="cellIs" dxfId="224" priority="227" operator="equal">
      <formula>"Media"</formula>
    </cfRule>
    <cfRule type="cellIs" dxfId="223" priority="228" operator="equal">
      <formula>"Baja"</formula>
    </cfRule>
    <cfRule type="cellIs" dxfId="222" priority="229" operator="equal">
      <formula>"Muy Baja"</formula>
    </cfRule>
  </conditionalFormatting>
  <conditionalFormatting sqref="AB37:AB42">
    <cfRule type="cellIs" dxfId="221" priority="220" operator="equal">
      <formula>"Catastrófico"</formula>
    </cfRule>
    <cfRule type="cellIs" dxfId="220" priority="221" operator="equal">
      <formula>"Mayor"</formula>
    </cfRule>
    <cfRule type="cellIs" dxfId="219" priority="222" operator="equal">
      <formula>"Moderado"</formula>
    </cfRule>
    <cfRule type="cellIs" dxfId="218" priority="223" operator="equal">
      <formula>"Menor"</formula>
    </cfRule>
    <cfRule type="cellIs" dxfId="217" priority="224" operator="equal">
      <formula>"Leve"</formula>
    </cfRule>
  </conditionalFormatting>
  <conditionalFormatting sqref="AD37:AD42">
    <cfRule type="cellIs" dxfId="216" priority="216" operator="equal">
      <formula>"Extremo"</formula>
    </cfRule>
    <cfRule type="cellIs" dxfId="215" priority="217" operator="equal">
      <formula>"Alto"</formula>
    </cfRule>
    <cfRule type="cellIs" dxfId="214" priority="218" operator="equal">
      <formula>"Moderado"</formula>
    </cfRule>
    <cfRule type="cellIs" dxfId="213" priority="219" operator="equal">
      <formula>"Bajo"</formula>
    </cfRule>
  </conditionalFormatting>
  <conditionalFormatting sqref="H43">
    <cfRule type="cellIs" dxfId="212" priority="211" operator="equal">
      <formula>"Muy Alta"</formula>
    </cfRule>
    <cfRule type="cellIs" dxfId="211" priority="212" operator="equal">
      <formula>"Alta"</formula>
    </cfRule>
    <cfRule type="cellIs" dxfId="210" priority="213" operator="equal">
      <formula>"Media"</formula>
    </cfRule>
    <cfRule type="cellIs" dxfId="209" priority="214" operator="equal">
      <formula>"Baja"</formula>
    </cfRule>
    <cfRule type="cellIs" dxfId="208" priority="215" operator="equal">
      <formula>"Muy Baja"</formula>
    </cfRule>
  </conditionalFormatting>
  <conditionalFormatting sqref="N43">
    <cfRule type="cellIs" dxfId="207" priority="202" operator="equal">
      <formula>"Extremo"</formula>
    </cfRule>
    <cfRule type="cellIs" dxfId="206" priority="203" operator="equal">
      <formula>"Alto"</formula>
    </cfRule>
    <cfRule type="cellIs" dxfId="205" priority="204" operator="equal">
      <formula>"Moderado"</formula>
    </cfRule>
    <cfRule type="cellIs" dxfId="204" priority="205" operator="equal">
      <formula>"Bajo"</formula>
    </cfRule>
  </conditionalFormatting>
  <conditionalFormatting sqref="Z43:Z48">
    <cfRule type="cellIs" dxfId="203" priority="197" operator="equal">
      <formula>"Muy Alta"</formula>
    </cfRule>
    <cfRule type="cellIs" dxfId="202" priority="198" operator="equal">
      <formula>"Alta"</formula>
    </cfRule>
    <cfRule type="cellIs" dxfId="201" priority="199" operator="equal">
      <formula>"Media"</formula>
    </cfRule>
    <cfRule type="cellIs" dxfId="200" priority="200" operator="equal">
      <formula>"Baja"</formula>
    </cfRule>
    <cfRule type="cellIs" dxfId="199" priority="201" operator="equal">
      <formula>"Muy Baja"</formula>
    </cfRule>
  </conditionalFormatting>
  <conditionalFormatting sqref="AB43:AB48">
    <cfRule type="cellIs" dxfId="198" priority="192" operator="equal">
      <formula>"Catastrófico"</formula>
    </cfRule>
    <cfRule type="cellIs" dxfId="197" priority="193" operator="equal">
      <formula>"Mayor"</formula>
    </cfRule>
    <cfRule type="cellIs" dxfId="196" priority="194" operator="equal">
      <formula>"Moderado"</formula>
    </cfRule>
    <cfRule type="cellIs" dxfId="195" priority="195" operator="equal">
      <formula>"Menor"</formula>
    </cfRule>
    <cfRule type="cellIs" dxfId="194" priority="196" operator="equal">
      <formula>"Leve"</formula>
    </cfRule>
  </conditionalFormatting>
  <conditionalFormatting sqref="AD43:AD48">
    <cfRule type="cellIs" dxfId="193" priority="188" operator="equal">
      <formula>"Extremo"</formula>
    </cfRule>
    <cfRule type="cellIs" dxfId="192" priority="189" operator="equal">
      <formula>"Alto"</formula>
    </cfRule>
    <cfRule type="cellIs" dxfId="191" priority="190" operator="equal">
      <formula>"Moderado"</formula>
    </cfRule>
    <cfRule type="cellIs" dxfId="190" priority="191" operator="equal">
      <formula>"Bajo"</formula>
    </cfRule>
  </conditionalFormatting>
  <conditionalFormatting sqref="H49">
    <cfRule type="cellIs" dxfId="189" priority="183" operator="equal">
      <formula>"Muy Alta"</formula>
    </cfRule>
    <cfRule type="cellIs" dxfId="188" priority="184" operator="equal">
      <formula>"Alta"</formula>
    </cfRule>
    <cfRule type="cellIs" dxfId="187" priority="185" operator="equal">
      <formula>"Media"</formula>
    </cfRule>
    <cfRule type="cellIs" dxfId="186" priority="186" operator="equal">
      <formula>"Baja"</formula>
    </cfRule>
    <cfRule type="cellIs" dxfId="185" priority="187" operator="equal">
      <formula>"Muy Baja"</formula>
    </cfRule>
  </conditionalFormatting>
  <conditionalFormatting sqref="N49">
    <cfRule type="cellIs" dxfId="184" priority="174" operator="equal">
      <formula>"Extremo"</formula>
    </cfRule>
    <cfRule type="cellIs" dxfId="183" priority="175" operator="equal">
      <formula>"Alto"</formula>
    </cfRule>
    <cfRule type="cellIs" dxfId="182" priority="176" operator="equal">
      <formula>"Moderado"</formula>
    </cfRule>
    <cfRule type="cellIs" dxfId="181" priority="177" operator="equal">
      <formula>"Bajo"</formula>
    </cfRule>
  </conditionalFormatting>
  <conditionalFormatting sqref="Z49:Z54">
    <cfRule type="cellIs" dxfId="180" priority="169" operator="equal">
      <formula>"Muy Alta"</formula>
    </cfRule>
    <cfRule type="cellIs" dxfId="179" priority="170" operator="equal">
      <formula>"Alta"</formula>
    </cfRule>
    <cfRule type="cellIs" dxfId="178" priority="171" operator="equal">
      <formula>"Media"</formula>
    </cfRule>
    <cfRule type="cellIs" dxfId="177" priority="172" operator="equal">
      <formula>"Baja"</formula>
    </cfRule>
    <cfRule type="cellIs" dxfId="176" priority="173" operator="equal">
      <formula>"Muy Baja"</formula>
    </cfRule>
  </conditionalFormatting>
  <conditionalFormatting sqref="AB49:AB54">
    <cfRule type="cellIs" dxfId="175" priority="164" operator="equal">
      <formula>"Catastrófico"</formula>
    </cfRule>
    <cfRule type="cellIs" dxfId="174" priority="165" operator="equal">
      <formula>"Mayor"</formula>
    </cfRule>
    <cfRule type="cellIs" dxfId="173" priority="166" operator="equal">
      <formula>"Moderado"</formula>
    </cfRule>
    <cfRule type="cellIs" dxfId="172" priority="167" operator="equal">
      <formula>"Menor"</formula>
    </cfRule>
    <cfRule type="cellIs" dxfId="171" priority="168" operator="equal">
      <formula>"Leve"</formula>
    </cfRule>
  </conditionalFormatting>
  <conditionalFormatting sqref="AD49:AD54">
    <cfRule type="cellIs" dxfId="170" priority="160" operator="equal">
      <formula>"Extremo"</formula>
    </cfRule>
    <cfRule type="cellIs" dxfId="169" priority="161" operator="equal">
      <formula>"Alto"</formula>
    </cfRule>
    <cfRule type="cellIs" dxfId="168" priority="162" operator="equal">
      <formula>"Moderado"</formula>
    </cfRule>
    <cfRule type="cellIs" dxfId="167" priority="163" operator="equal">
      <formula>"Bajo"</formula>
    </cfRule>
  </conditionalFormatting>
  <conditionalFormatting sqref="H55">
    <cfRule type="cellIs" dxfId="166" priority="155" operator="equal">
      <formula>"Muy Alta"</formula>
    </cfRule>
    <cfRule type="cellIs" dxfId="165" priority="156" operator="equal">
      <formula>"Alta"</formula>
    </cfRule>
    <cfRule type="cellIs" dxfId="164" priority="157" operator="equal">
      <formula>"Media"</formula>
    </cfRule>
    <cfRule type="cellIs" dxfId="163" priority="158" operator="equal">
      <formula>"Baja"</formula>
    </cfRule>
    <cfRule type="cellIs" dxfId="162" priority="159" operator="equal">
      <formula>"Muy Baja"</formula>
    </cfRule>
  </conditionalFormatting>
  <conditionalFormatting sqref="N55">
    <cfRule type="cellIs" dxfId="161" priority="146" operator="equal">
      <formula>"Extremo"</formula>
    </cfRule>
    <cfRule type="cellIs" dxfId="160" priority="147" operator="equal">
      <formula>"Alto"</formula>
    </cfRule>
    <cfRule type="cellIs" dxfId="159" priority="148" operator="equal">
      <formula>"Moderado"</formula>
    </cfRule>
    <cfRule type="cellIs" dxfId="158" priority="149" operator="equal">
      <formula>"Bajo"</formula>
    </cfRule>
  </conditionalFormatting>
  <conditionalFormatting sqref="Z55:Z60">
    <cfRule type="cellIs" dxfId="157" priority="141" operator="equal">
      <formula>"Muy Alta"</formula>
    </cfRule>
    <cfRule type="cellIs" dxfId="156" priority="142" operator="equal">
      <formula>"Alta"</formula>
    </cfRule>
    <cfRule type="cellIs" dxfId="155" priority="143" operator="equal">
      <formula>"Media"</formula>
    </cfRule>
    <cfRule type="cellIs" dxfId="154" priority="144" operator="equal">
      <formula>"Baja"</formula>
    </cfRule>
    <cfRule type="cellIs" dxfId="153" priority="145" operator="equal">
      <formula>"Muy Baja"</formula>
    </cfRule>
  </conditionalFormatting>
  <conditionalFormatting sqref="AB55:AB60">
    <cfRule type="cellIs" dxfId="152" priority="136" operator="equal">
      <formula>"Catastrófico"</formula>
    </cfRule>
    <cfRule type="cellIs" dxfId="151" priority="137" operator="equal">
      <formula>"Mayor"</formula>
    </cfRule>
    <cfRule type="cellIs" dxfId="150" priority="138" operator="equal">
      <formula>"Moderado"</formula>
    </cfRule>
    <cfRule type="cellIs" dxfId="149" priority="139" operator="equal">
      <formula>"Menor"</formula>
    </cfRule>
    <cfRule type="cellIs" dxfId="148" priority="140" operator="equal">
      <formula>"Leve"</formula>
    </cfRule>
  </conditionalFormatting>
  <conditionalFormatting sqref="AD55:AD60">
    <cfRule type="cellIs" dxfId="147" priority="132" operator="equal">
      <formula>"Extremo"</formula>
    </cfRule>
    <cfRule type="cellIs" dxfId="146" priority="133" operator="equal">
      <formula>"Alto"</formula>
    </cfRule>
    <cfRule type="cellIs" dxfId="145" priority="134" operator="equal">
      <formula>"Moderado"</formula>
    </cfRule>
    <cfRule type="cellIs" dxfId="144" priority="135" operator="equal">
      <formula>"Bajo"</formula>
    </cfRule>
  </conditionalFormatting>
  <conditionalFormatting sqref="N61:O61 O62:O66">
    <cfRule type="cellIs" dxfId="143" priority="118" operator="equal">
      <formula>"Extremo"</formula>
    </cfRule>
    <cfRule type="cellIs" dxfId="142" priority="119" operator="equal">
      <formula>"Alto"</formula>
    </cfRule>
    <cfRule type="cellIs" dxfId="141" priority="120" operator="equal">
      <formula>"Moderado"</formula>
    </cfRule>
    <cfRule type="cellIs" dxfId="140" priority="121" operator="equal">
      <formula>"Bajo"</formula>
    </cfRule>
  </conditionalFormatting>
  <conditionalFormatting sqref="Z61:Z66">
    <cfRule type="cellIs" dxfId="139" priority="113" operator="equal">
      <formula>"Muy Alta"</formula>
    </cfRule>
    <cfRule type="cellIs" dxfId="138" priority="114" operator="equal">
      <formula>"Alta"</formula>
    </cfRule>
    <cfRule type="cellIs" dxfId="137" priority="115" operator="equal">
      <formula>"Media"</formula>
    </cfRule>
    <cfRule type="cellIs" dxfId="136" priority="116" operator="equal">
      <formula>"Baja"</formula>
    </cfRule>
    <cfRule type="cellIs" dxfId="135" priority="117" operator="equal">
      <formula>"Muy Baja"</formula>
    </cfRule>
  </conditionalFormatting>
  <conditionalFormatting sqref="AB61:AB66">
    <cfRule type="cellIs" dxfId="134" priority="108" operator="equal">
      <formula>"Catastrófico"</formula>
    </cfRule>
    <cfRule type="cellIs" dxfId="133" priority="109" operator="equal">
      <formula>"Mayor"</formula>
    </cfRule>
    <cfRule type="cellIs" dxfId="132" priority="110" operator="equal">
      <formula>"Moderado"</formula>
    </cfRule>
    <cfRule type="cellIs" dxfId="131" priority="111" operator="equal">
      <formula>"Menor"</formula>
    </cfRule>
    <cfRule type="cellIs" dxfId="130" priority="112" operator="equal">
      <formula>"Leve"</formula>
    </cfRule>
  </conditionalFormatting>
  <conditionalFormatting sqref="AD61:AD66">
    <cfRule type="cellIs" dxfId="129" priority="104" operator="equal">
      <formula>"Extremo"</formula>
    </cfRule>
    <cfRule type="cellIs" dxfId="128" priority="105" operator="equal">
      <formula>"Alto"</formula>
    </cfRule>
    <cfRule type="cellIs" dxfId="127" priority="106" operator="equal">
      <formula>"Moderado"</formula>
    </cfRule>
    <cfRule type="cellIs" dxfId="126" priority="107" operator="equal">
      <formula>"Bajo"</formula>
    </cfRule>
  </conditionalFormatting>
  <conditionalFormatting sqref="H67">
    <cfRule type="cellIs" dxfId="125" priority="99" operator="equal">
      <formula>"Muy Alta"</formula>
    </cfRule>
    <cfRule type="cellIs" dxfId="124" priority="100" operator="equal">
      <formula>"Alta"</formula>
    </cfRule>
    <cfRule type="cellIs" dxfId="123" priority="101" operator="equal">
      <formula>"Media"</formula>
    </cfRule>
    <cfRule type="cellIs" dxfId="122" priority="102" operator="equal">
      <formula>"Baja"</formula>
    </cfRule>
    <cfRule type="cellIs" dxfId="121" priority="103" operator="equal">
      <formula>"Muy Baja"</formula>
    </cfRule>
  </conditionalFormatting>
  <conditionalFormatting sqref="N67">
    <cfRule type="cellIs" dxfId="120" priority="90" operator="equal">
      <formula>"Extremo"</formula>
    </cfRule>
    <cfRule type="cellIs" dxfId="119" priority="91" operator="equal">
      <formula>"Alto"</formula>
    </cfRule>
    <cfRule type="cellIs" dxfId="118" priority="92" operator="equal">
      <formula>"Moderado"</formula>
    </cfRule>
    <cfRule type="cellIs" dxfId="117" priority="93" operator="equal">
      <formula>"Bajo"</formula>
    </cfRule>
  </conditionalFormatting>
  <conditionalFormatting sqref="Z67:Z72">
    <cfRule type="cellIs" dxfId="116" priority="85" operator="equal">
      <formula>"Muy Alta"</formula>
    </cfRule>
    <cfRule type="cellIs" dxfId="115" priority="86" operator="equal">
      <formula>"Alta"</formula>
    </cfRule>
    <cfRule type="cellIs" dxfId="114" priority="87" operator="equal">
      <formula>"Media"</formula>
    </cfRule>
    <cfRule type="cellIs" dxfId="113" priority="88" operator="equal">
      <formula>"Baja"</formula>
    </cfRule>
    <cfRule type="cellIs" dxfId="112" priority="89" operator="equal">
      <formula>"Muy Baja"</formula>
    </cfRule>
  </conditionalFormatting>
  <conditionalFormatting sqref="AB67:AB72">
    <cfRule type="cellIs" dxfId="111" priority="80" operator="equal">
      <formula>"Catastrófico"</formula>
    </cfRule>
    <cfRule type="cellIs" dxfId="110" priority="81" operator="equal">
      <formula>"Mayor"</formula>
    </cfRule>
    <cfRule type="cellIs" dxfId="109" priority="82" operator="equal">
      <formula>"Moderado"</formula>
    </cfRule>
    <cfRule type="cellIs" dxfId="108" priority="83" operator="equal">
      <formula>"Menor"</formula>
    </cfRule>
    <cfRule type="cellIs" dxfId="107" priority="84" operator="equal">
      <formula>"Leve"</formula>
    </cfRule>
  </conditionalFormatting>
  <conditionalFormatting sqref="AD67:AD72">
    <cfRule type="cellIs" dxfId="106" priority="76" operator="equal">
      <formula>"Extremo"</formula>
    </cfRule>
    <cfRule type="cellIs" dxfId="105" priority="77" operator="equal">
      <formula>"Alto"</formula>
    </cfRule>
    <cfRule type="cellIs" dxfId="104" priority="78" operator="equal">
      <formula>"Moderado"</formula>
    </cfRule>
    <cfRule type="cellIs" dxfId="103" priority="79" operator="equal">
      <formula>"Bajo"</formula>
    </cfRule>
  </conditionalFormatting>
  <conditionalFormatting sqref="K13:K72">
    <cfRule type="containsText" dxfId="102" priority="75" operator="containsText" text="❌">
      <formula>NOT(ISERROR(SEARCH("❌",K13)))</formula>
    </cfRule>
  </conditionalFormatting>
  <conditionalFormatting sqref="Z18">
    <cfRule type="cellIs" dxfId="101" priority="56" operator="equal">
      <formula>"Muy Alta"</formula>
    </cfRule>
    <cfRule type="cellIs" dxfId="100" priority="57" operator="equal">
      <formula>"Alta"</formula>
    </cfRule>
    <cfRule type="cellIs" dxfId="99" priority="58" operator="equal">
      <formula>"Media"</formula>
    </cfRule>
    <cfRule type="cellIs" dxfId="98" priority="59" operator="equal">
      <formula>"Baja"</formula>
    </cfRule>
    <cfRule type="cellIs" dxfId="97" priority="60" operator="equal">
      <formula>"Muy Baja"</formula>
    </cfRule>
  </conditionalFormatting>
  <conditionalFormatting sqref="AB18">
    <cfRule type="cellIs" dxfId="96" priority="51" operator="equal">
      <formula>"Catastrófico"</formula>
    </cfRule>
    <cfRule type="cellIs" dxfId="95" priority="52" operator="equal">
      <formula>"Mayor"</formula>
    </cfRule>
    <cfRule type="cellIs" dxfId="94" priority="53" operator="equal">
      <formula>"Moderado"</formula>
    </cfRule>
    <cfRule type="cellIs" dxfId="93" priority="54" operator="equal">
      <formula>"Menor"</formula>
    </cfRule>
    <cfRule type="cellIs" dxfId="92" priority="55" operator="equal">
      <formula>"Leve"</formula>
    </cfRule>
  </conditionalFormatting>
  <conditionalFormatting sqref="AD18">
    <cfRule type="cellIs" dxfId="91" priority="47" operator="equal">
      <formula>"Extremo"</formula>
    </cfRule>
    <cfRule type="cellIs" dxfId="90" priority="48" operator="equal">
      <formula>"Alto"</formula>
    </cfRule>
    <cfRule type="cellIs" dxfId="89" priority="49" operator="equal">
      <formula>"Moderado"</formula>
    </cfRule>
    <cfRule type="cellIs" dxfId="88" priority="50" operator="equal">
      <formula>"Bajo"</formula>
    </cfRule>
  </conditionalFormatting>
  <conditionalFormatting sqref="O67:O72">
    <cfRule type="cellIs" dxfId="87" priority="1" operator="equal">
      <formula>"Extremo"</formula>
    </cfRule>
    <cfRule type="cellIs" dxfId="86" priority="2" operator="equal">
      <formula>"Alto"</formula>
    </cfRule>
    <cfRule type="cellIs" dxfId="85" priority="3" operator="equal">
      <formula>"Moderado"</formula>
    </cfRule>
    <cfRule type="cellIs" dxfId="84" priority="4" operator="equal">
      <formula>"Bajo"</formula>
    </cfRule>
  </conditionalFormatting>
  <pageMargins left="0.7" right="0.7" top="0.75" bottom="0.75" header="0.3" footer="0.3"/>
  <pageSetup orientation="portrait" r:id="rId1"/>
  <ignoredErrors>
    <ignoredError sqref="AC15" formula="1"/>
  </ignoredError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300-000000000000}">
          <x14:formula1>
            <xm:f>Formulas!$O$5:$O$32</xm:f>
          </x14:formula1>
          <xm:sqref>C7:N7</xm:sqref>
        </x14:dataValidation>
        <x14:dataValidation type="list" allowBlank="1" showInputMessage="1" showErrorMessage="1" xr:uid="{00000000-0002-0000-0300-000001000000}">
          <x14:formula1>
            <xm:f>'Tabla Valoración controles'!$D$4:$D$6</xm:f>
          </x14:formula1>
          <xm:sqref>S13:S72</xm:sqref>
        </x14:dataValidation>
        <x14:dataValidation type="list" allowBlank="1" showInputMessage="1" showErrorMessage="1" xr:uid="{00000000-0002-0000-0300-000002000000}">
          <x14:formula1>
            <xm:f>'Tabla Valoración controles'!$D$7:$D$8</xm:f>
          </x14:formula1>
          <xm:sqref>T13:T72</xm:sqref>
        </x14:dataValidation>
        <x14:dataValidation type="list" allowBlank="1" showInputMessage="1" showErrorMessage="1" xr:uid="{00000000-0002-0000-0300-000003000000}">
          <x14:formula1>
            <xm:f>'Tabla Valoración controles'!$D$9:$D$10</xm:f>
          </x14:formula1>
          <xm:sqref>V13:V72</xm:sqref>
        </x14:dataValidation>
        <x14:dataValidation type="list" allowBlank="1" showInputMessage="1" showErrorMessage="1" xr:uid="{00000000-0002-0000-0300-000004000000}">
          <x14:formula1>
            <xm:f>'Tabla Valoración controles'!$D$11:$D$12</xm:f>
          </x14:formula1>
          <xm:sqref>W13:W72</xm:sqref>
        </x14:dataValidation>
        <x14:dataValidation type="list" allowBlank="1" showInputMessage="1" showErrorMessage="1" xr:uid="{00000000-0002-0000-0300-000005000000}">
          <x14:formula1>
            <xm:f>'Tabla Valoración controles'!$D$13:$D$14</xm:f>
          </x14:formula1>
          <xm:sqref>X13:X72</xm:sqref>
        </x14:dataValidation>
        <x14:dataValidation type="list" allowBlank="1" showInputMessage="1" showErrorMessage="1" xr:uid="{00000000-0002-0000-0300-000006000000}">
          <x14:formula1>
            <xm:f>'Opciones Tratamiento'!$B$2:$B$5</xm:f>
          </x14:formula1>
          <xm:sqref>AE13:AE72</xm:sqref>
        </x14:dataValidation>
        <x14:dataValidation type="list" allowBlank="1" showInputMessage="1" showErrorMessage="1" xr:uid="{00000000-0002-0000-0300-000007000000}">
          <x14:formula1>
            <xm:f>'Tabla Impacto'!$F$210:$F$221</xm:f>
          </x14:formula1>
          <xm:sqref>J13:J72</xm:sqref>
        </x14:dataValidation>
        <x14:dataValidation type="list" allowBlank="1" showInputMessage="1" showErrorMessage="1" xr:uid="{00000000-0002-0000-0300-000008000000}">
          <x14:formula1>
            <xm:f>Formulas!$M$5:$M$13</xm:f>
          </x14:formula1>
          <xm:sqref>F13:F72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33"/>
  <sheetViews>
    <sheetView showGridLines="0" topLeftCell="A10" zoomScale="76" zoomScaleNormal="76" workbookViewId="0">
      <selection activeCell="H18" sqref="H18"/>
    </sheetView>
  </sheetViews>
  <sheetFormatPr baseColWidth="10" defaultColWidth="11.44140625" defaultRowHeight="14.4" x14ac:dyDescent="0.3"/>
  <cols>
    <col min="1" max="2" width="41.88671875" style="171" customWidth="1"/>
    <col min="3" max="6" width="15.33203125" style="171" customWidth="1"/>
    <col min="7" max="7" width="22.33203125" style="171" customWidth="1"/>
    <col min="8" max="8" width="26" style="171" customWidth="1"/>
    <col min="9" max="9" width="26.109375" style="171" customWidth="1"/>
    <col min="10" max="10" width="15.88671875" customWidth="1"/>
    <col min="11" max="11" width="17.109375" customWidth="1"/>
    <col min="12" max="12" width="16.44140625" customWidth="1"/>
    <col min="13" max="13" width="17.33203125" customWidth="1"/>
    <col min="14" max="16" width="15.88671875" customWidth="1"/>
    <col min="17" max="17" width="20.6640625" customWidth="1"/>
    <col min="18" max="19" width="15.88671875" customWidth="1"/>
    <col min="20" max="20" width="23.33203125" customWidth="1"/>
    <col min="21" max="21" width="22" customWidth="1"/>
    <col min="22" max="28" width="15.88671875" customWidth="1"/>
    <col min="29" max="29" width="19.33203125" customWidth="1"/>
    <col min="30" max="30" width="22.88671875" customWidth="1"/>
    <col min="31" max="31" width="14.88671875" hidden="1" customWidth="1"/>
    <col min="32" max="32" width="20.44140625" customWidth="1"/>
    <col min="33" max="33" width="14.5546875" hidden="1" customWidth="1"/>
    <col min="34" max="34" width="21.44140625" customWidth="1"/>
    <col min="35" max="35" width="18.6640625" hidden="1" customWidth="1"/>
    <col min="36" max="36" width="19.6640625" style="172" hidden="1" customWidth="1"/>
    <col min="37" max="37" width="59" style="173" customWidth="1"/>
    <col min="38" max="40" width="25.109375" style="174" customWidth="1"/>
    <col min="41" max="41" width="30.88671875" style="174" customWidth="1"/>
    <col min="42" max="42" width="48" style="174" bestFit="1" customWidth="1"/>
    <col min="43" max="43" width="28.33203125" style="174" customWidth="1"/>
    <col min="44" max="44" width="31.6640625" style="174" bestFit="1" customWidth="1"/>
    <col min="45" max="45" width="27.44140625" style="174" customWidth="1"/>
    <col min="46" max="53" width="25.109375" style="174" hidden="1" customWidth="1"/>
    <col min="54" max="54" width="32" style="173" customWidth="1"/>
    <col min="55" max="56" width="29.5546875" style="173" customWidth="1"/>
    <col min="57" max="57" width="13.88671875" style="173" hidden="1" customWidth="1"/>
    <col min="58" max="58" width="21.33203125" style="173" hidden="1" customWidth="1"/>
    <col min="59" max="59" width="21.33203125" style="173" customWidth="1"/>
    <col min="60" max="60" width="24.33203125" style="173" customWidth="1"/>
    <col min="61" max="63" width="25.109375" style="173" hidden="1" customWidth="1"/>
    <col min="64" max="64" width="25.109375" style="173" customWidth="1"/>
    <col min="65" max="65" width="25.109375" style="173" hidden="1" customWidth="1"/>
    <col min="66" max="66" width="26" style="175" customWidth="1"/>
    <col min="67" max="67" width="25.109375" style="175" hidden="1" customWidth="1"/>
    <col min="68" max="68" width="11.44140625" style="161"/>
  </cols>
  <sheetData>
    <row r="1" spans="1:68" ht="41.25" customHeight="1" x14ac:dyDescent="0.3">
      <c r="A1" s="455" t="s">
        <v>0</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c r="BD1" s="456"/>
      <c r="BE1" s="456"/>
      <c r="BF1" s="456"/>
      <c r="BG1" s="456"/>
      <c r="BH1" s="456"/>
      <c r="BI1" s="456"/>
      <c r="BJ1" s="456"/>
      <c r="BK1" s="456"/>
      <c r="BL1" s="456"/>
      <c r="BM1"/>
      <c r="BN1" s="131" t="s">
        <v>1</v>
      </c>
      <c r="BO1"/>
      <c r="BP1"/>
    </row>
    <row r="2" spans="1:68" ht="41.25" customHeight="1" x14ac:dyDescent="0.3">
      <c r="A2" s="455"/>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c r="BN2" s="132" t="s">
        <v>2</v>
      </c>
      <c r="BO2"/>
      <c r="BP2"/>
    </row>
    <row r="3" spans="1:68" ht="41.25" customHeight="1" x14ac:dyDescent="0.3">
      <c r="A3" s="455"/>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c r="BN3" s="133" t="s">
        <v>3</v>
      </c>
      <c r="BO3"/>
      <c r="BP3"/>
    </row>
    <row r="4" spans="1:68" ht="18" customHeight="1" x14ac:dyDescent="0.3">
      <c r="A4" s="461"/>
      <c r="B4" s="461"/>
      <c r="C4" s="461"/>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61"/>
      <c r="AP4" s="461"/>
      <c r="AQ4" s="461"/>
      <c r="AR4" s="461"/>
      <c r="AS4" s="461"/>
      <c r="AT4" s="461"/>
      <c r="AU4" s="461"/>
      <c r="AV4" s="461"/>
      <c r="AW4" s="461"/>
      <c r="AX4" s="461"/>
      <c r="AY4" s="461"/>
      <c r="AZ4" s="461"/>
      <c r="BA4" s="461"/>
      <c r="BB4" s="461"/>
      <c r="BC4" s="461"/>
      <c r="BD4" s="461"/>
      <c r="BE4" s="461"/>
      <c r="BF4" s="461"/>
      <c r="BG4" s="461"/>
      <c r="BH4" s="461"/>
      <c r="BI4" s="461"/>
      <c r="BJ4" s="461"/>
      <c r="BK4" s="461"/>
      <c r="BL4" s="461"/>
      <c r="BM4" s="462"/>
      <c r="BN4" s="462"/>
      <c r="BO4"/>
      <c r="BP4"/>
    </row>
    <row r="5" spans="1:68" ht="32.25" customHeight="1" x14ac:dyDescent="0.3">
      <c r="A5" s="134" t="s">
        <v>11</v>
      </c>
      <c r="B5" s="465"/>
      <c r="C5" s="465"/>
      <c r="D5" s="465"/>
      <c r="E5" s="465"/>
      <c r="F5" s="465"/>
      <c r="G5" s="465"/>
      <c r="H5" s="465"/>
      <c r="I5" s="465"/>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c r="BD5" s="463"/>
      <c r="BE5" s="463"/>
      <c r="BF5" s="463"/>
      <c r="BG5" s="463"/>
      <c r="BH5" s="463"/>
      <c r="BI5" s="463"/>
      <c r="BJ5" s="463"/>
      <c r="BK5" s="463"/>
      <c r="BL5" s="463"/>
      <c r="BM5" s="463"/>
      <c r="BN5" s="464"/>
      <c r="BO5"/>
      <c r="BP5"/>
    </row>
    <row r="6" spans="1:68" ht="43.5" customHeight="1" x14ac:dyDescent="0.3">
      <c r="A6" s="200" t="s">
        <v>251</v>
      </c>
      <c r="B6" s="466"/>
      <c r="C6" s="466"/>
      <c r="D6" s="466"/>
      <c r="E6" s="466"/>
      <c r="F6" s="466"/>
      <c r="G6" s="466"/>
      <c r="H6" s="466"/>
      <c r="I6" s="466"/>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c r="BD6" s="463"/>
      <c r="BE6" s="463"/>
      <c r="BF6" s="463"/>
      <c r="BG6" s="463"/>
      <c r="BH6" s="463"/>
      <c r="BI6" s="463"/>
      <c r="BJ6" s="463"/>
      <c r="BK6" s="463"/>
      <c r="BL6" s="463"/>
      <c r="BM6" s="463"/>
      <c r="BN6" s="464"/>
      <c r="BO6"/>
      <c r="BP6"/>
    </row>
    <row r="7" spans="1:68" ht="43.5" customHeight="1" thickBot="1" x14ac:dyDescent="0.35">
      <c r="A7" s="245" t="s">
        <v>15</v>
      </c>
      <c r="B7" s="505"/>
      <c r="C7" s="506"/>
      <c r="D7" s="506"/>
      <c r="E7" s="506"/>
      <c r="F7" s="506"/>
      <c r="G7" s="506"/>
      <c r="H7" s="506"/>
      <c r="I7" s="507"/>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c r="BH7" s="211"/>
      <c r="BI7" s="211"/>
      <c r="BJ7" s="211"/>
      <c r="BK7" s="211"/>
      <c r="BL7" s="211"/>
      <c r="BM7" s="211"/>
      <c r="BN7" s="211"/>
      <c r="BO7"/>
      <c r="BP7"/>
    </row>
    <row r="8" spans="1:68" ht="36.75" customHeight="1" thickBot="1" x14ac:dyDescent="0.35">
      <c r="A8" s="469" t="s">
        <v>252</v>
      </c>
      <c r="B8" s="470"/>
      <c r="C8" s="470"/>
      <c r="D8" s="470"/>
      <c r="E8" s="470"/>
      <c r="F8" s="470"/>
      <c r="G8" s="470"/>
      <c r="H8" s="470"/>
      <c r="I8" s="471"/>
      <c r="J8" s="472" t="s">
        <v>253</v>
      </c>
      <c r="K8" s="473"/>
      <c r="L8" s="473"/>
      <c r="M8" s="473"/>
      <c r="N8" s="473"/>
      <c r="O8" s="473"/>
      <c r="P8" s="473"/>
      <c r="Q8" s="473"/>
      <c r="R8" s="473"/>
      <c r="S8" s="473"/>
      <c r="T8" s="473"/>
      <c r="U8" s="473"/>
      <c r="V8" s="473"/>
      <c r="W8" s="473"/>
      <c r="X8" s="473"/>
      <c r="Y8" s="473"/>
      <c r="Z8" s="473"/>
      <c r="AA8" s="473"/>
      <c r="AB8" s="473"/>
      <c r="AC8" s="473"/>
      <c r="AD8" s="473"/>
      <c r="AE8" s="473"/>
      <c r="AF8" s="473"/>
      <c r="AG8" s="473"/>
      <c r="AH8" s="473"/>
      <c r="AI8" s="473"/>
      <c r="AJ8" s="474"/>
      <c r="AK8" s="475"/>
      <c r="AL8" s="475"/>
      <c r="AM8" s="475"/>
      <c r="AN8" s="475"/>
      <c r="AO8" s="475"/>
      <c r="AP8" s="475"/>
      <c r="AQ8" s="475"/>
      <c r="AR8" s="475"/>
      <c r="AS8" s="475"/>
      <c r="AT8" s="475"/>
      <c r="AU8" s="475"/>
      <c r="AV8" s="475"/>
      <c r="AW8" s="475"/>
      <c r="AX8" s="475"/>
      <c r="AY8" s="475"/>
      <c r="AZ8" s="475"/>
      <c r="BA8" s="475"/>
      <c r="BB8" s="475"/>
      <c r="BC8" s="475"/>
      <c r="BD8" s="475"/>
      <c r="BE8" s="475"/>
      <c r="BF8" s="475"/>
      <c r="BG8" s="475"/>
      <c r="BH8" s="475"/>
      <c r="BI8" s="475"/>
      <c r="BJ8" s="475"/>
      <c r="BK8" s="475"/>
      <c r="BL8" s="475"/>
      <c r="BM8" s="475"/>
      <c r="BN8" s="475"/>
      <c r="BO8" s="476"/>
      <c r="BP8" s="135"/>
    </row>
    <row r="9" spans="1:68" ht="36" customHeight="1" x14ac:dyDescent="0.35">
      <c r="A9" s="140"/>
      <c r="B9" s="246"/>
      <c r="C9" s="141"/>
      <c r="D9" s="141"/>
      <c r="E9" s="247"/>
      <c r="F9" s="143"/>
      <c r="G9" s="248"/>
      <c r="H9" s="247"/>
      <c r="I9" s="249"/>
      <c r="J9" s="477" t="s">
        <v>254</v>
      </c>
      <c r="K9" s="478" t="s">
        <v>255</v>
      </c>
      <c r="L9" s="478" t="s">
        <v>256</v>
      </c>
      <c r="M9" s="478" t="s">
        <v>257</v>
      </c>
      <c r="N9" s="478" t="s">
        <v>258</v>
      </c>
      <c r="O9" s="478" t="s">
        <v>259</v>
      </c>
      <c r="P9" s="478" t="s">
        <v>260</v>
      </c>
      <c r="Q9" s="478" t="s">
        <v>261</v>
      </c>
      <c r="R9" s="478" t="s">
        <v>262</v>
      </c>
      <c r="S9" s="478" t="s">
        <v>263</v>
      </c>
      <c r="T9" s="478" t="s">
        <v>264</v>
      </c>
      <c r="U9" s="478" t="s">
        <v>265</v>
      </c>
      <c r="V9" s="478" t="s">
        <v>266</v>
      </c>
      <c r="W9" s="478" t="s">
        <v>267</v>
      </c>
      <c r="X9" s="478" t="s">
        <v>268</v>
      </c>
      <c r="Y9" s="478" t="s">
        <v>269</v>
      </c>
      <c r="Z9" s="478" t="s">
        <v>270</v>
      </c>
      <c r="AA9" s="478" t="s">
        <v>271</v>
      </c>
      <c r="AB9" s="503" t="s">
        <v>272</v>
      </c>
      <c r="AC9" s="479" t="s">
        <v>273</v>
      </c>
      <c r="AD9" s="457" t="s">
        <v>274</v>
      </c>
      <c r="AE9" s="136"/>
      <c r="AF9" s="457" t="s">
        <v>275</v>
      </c>
      <c r="AG9" s="136"/>
      <c r="AH9" s="459" t="s">
        <v>276</v>
      </c>
      <c r="AI9" s="137"/>
      <c r="AJ9" s="137"/>
      <c r="AK9" s="467" t="s">
        <v>277</v>
      </c>
      <c r="AL9" s="468"/>
      <c r="AM9" s="481" t="s">
        <v>278</v>
      </c>
      <c r="AN9" s="482"/>
      <c r="AO9" s="482"/>
      <c r="AP9" s="482"/>
      <c r="AQ9" s="482"/>
      <c r="AR9" s="482"/>
      <c r="AS9" s="482"/>
      <c r="AT9" s="482"/>
      <c r="AU9" s="482"/>
      <c r="AV9" s="482"/>
      <c r="AW9" s="482"/>
      <c r="AX9" s="482"/>
      <c r="AY9" s="482"/>
      <c r="AZ9" s="482"/>
      <c r="BA9" s="482"/>
      <c r="BB9" s="483"/>
      <c r="BC9" s="483"/>
      <c r="BD9" s="483"/>
      <c r="BE9" s="483"/>
      <c r="BF9" s="483"/>
      <c r="BG9" s="483"/>
      <c r="BH9" s="483"/>
      <c r="BI9" s="484" t="s">
        <v>279</v>
      </c>
      <c r="BJ9" s="484"/>
      <c r="BK9" s="484"/>
      <c r="BL9" s="484"/>
      <c r="BM9" s="484"/>
      <c r="BN9" s="484"/>
      <c r="BO9" s="138"/>
      <c r="BP9" s="139"/>
    </row>
    <row r="10" spans="1:68" ht="120" customHeight="1" thickBot="1" x14ac:dyDescent="0.35">
      <c r="A10" s="140" t="s">
        <v>280</v>
      </c>
      <c r="B10" s="144" t="s">
        <v>281</v>
      </c>
      <c r="C10" s="141" t="s">
        <v>282</v>
      </c>
      <c r="D10" s="142" t="s">
        <v>283</v>
      </c>
      <c r="E10" s="202" t="s">
        <v>284</v>
      </c>
      <c r="F10" s="143" t="s">
        <v>285</v>
      </c>
      <c r="G10" s="145" t="s">
        <v>286</v>
      </c>
      <c r="H10" s="146" t="s">
        <v>287</v>
      </c>
      <c r="I10" s="147" t="s">
        <v>288</v>
      </c>
      <c r="J10" s="477"/>
      <c r="K10" s="478"/>
      <c r="L10" s="478"/>
      <c r="M10" s="478"/>
      <c r="N10" s="478"/>
      <c r="O10" s="478"/>
      <c r="P10" s="478"/>
      <c r="Q10" s="478"/>
      <c r="R10" s="478"/>
      <c r="S10" s="478"/>
      <c r="T10" s="478"/>
      <c r="U10" s="478"/>
      <c r="V10" s="478"/>
      <c r="W10" s="478"/>
      <c r="X10" s="478"/>
      <c r="Y10" s="478"/>
      <c r="Z10" s="478"/>
      <c r="AA10" s="478"/>
      <c r="AB10" s="504"/>
      <c r="AC10" s="480"/>
      <c r="AD10" s="458"/>
      <c r="AE10" s="148" t="s">
        <v>289</v>
      </c>
      <c r="AF10" s="458"/>
      <c r="AG10" s="148" t="s">
        <v>290</v>
      </c>
      <c r="AH10" s="460"/>
      <c r="AI10" s="149" t="s">
        <v>291</v>
      </c>
      <c r="AJ10" s="150" t="s">
        <v>292</v>
      </c>
      <c r="AK10" s="241" t="s">
        <v>293</v>
      </c>
      <c r="AL10" s="242" t="s">
        <v>294</v>
      </c>
      <c r="AM10" s="151" t="s">
        <v>295</v>
      </c>
      <c r="AN10" s="152" t="s">
        <v>296</v>
      </c>
      <c r="AO10" s="153" t="s">
        <v>297</v>
      </c>
      <c r="AP10" s="152" t="s">
        <v>298</v>
      </c>
      <c r="AQ10" s="153" t="s">
        <v>299</v>
      </c>
      <c r="AR10" s="153" t="s">
        <v>300</v>
      </c>
      <c r="AS10" s="153" t="s">
        <v>301</v>
      </c>
      <c r="AT10" s="153" t="s">
        <v>295</v>
      </c>
      <c r="AU10" s="153" t="s">
        <v>296</v>
      </c>
      <c r="AV10" s="153" t="s">
        <v>297</v>
      </c>
      <c r="AW10" s="153" t="s">
        <v>298</v>
      </c>
      <c r="AX10" s="153" t="s">
        <v>299</v>
      </c>
      <c r="AY10" s="153" t="s">
        <v>300</v>
      </c>
      <c r="AZ10" s="153" t="s">
        <v>301</v>
      </c>
      <c r="BA10" s="153" t="s">
        <v>302</v>
      </c>
      <c r="BB10" s="243" t="s">
        <v>303</v>
      </c>
      <c r="BC10" s="243" t="s">
        <v>304</v>
      </c>
      <c r="BD10" s="243" t="s">
        <v>305</v>
      </c>
      <c r="BE10" s="244" t="s">
        <v>305</v>
      </c>
      <c r="BF10" s="244" t="s">
        <v>306</v>
      </c>
      <c r="BG10" s="243" t="s">
        <v>307</v>
      </c>
      <c r="BH10" s="243" t="s">
        <v>308</v>
      </c>
      <c r="BI10" s="154" t="s">
        <v>309</v>
      </c>
      <c r="BJ10" s="154" t="s">
        <v>310</v>
      </c>
      <c r="BK10" s="154" t="s">
        <v>289</v>
      </c>
      <c r="BL10" s="154" t="s">
        <v>311</v>
      </c>
      <c r="BM10" s="154" t="s">
        <v>290</v>
      </c>
      <c r="BN10" s="154" t="s">
        <v>312</v>
      </c>
      <c r="BO10" s="155" t="s">
        <v>291</v>
      </c>
      <c r="BP10" s="135"/>
    </row>
    <row r="11" spans="1:68" ht="15" thickBot="1" x14ac:dyDescent="0.35">
      <c r="A11" s="156"/>
      <c r="B11" s="157"/>
      <c r="C11" s="157"/>
      <c r="D11" s="157"/>
      <c r="E11" s="201"/>
      <c r="F11" s="157"/>
      <c r="G11" s="157"/>
      <c r="H11" s="157"/>
      <c r="I11" s="157"/>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7"/>
      <c r="AK11" s="157"/>
      <c r="AL11" s="197"/>
      <c r="AM11" s="197"/>
      <c r="AN11" s="197"/>
      <c r="AO11" s="157"/>
      <c r="AP11" s="197"/>
      <c r="AQ11" s="197"/>
      <c r="AR11" s="197"/>
      <c r="AS11" s="157"/>
      <c r="AT11" s="157"/>
      <c r="AU11" s="157"/>
      <c r="AV11" s="157"/>
      <c r="AW11" s="157"/>
      <c r="AX11" s="157"/>
      <c r="AY11" s="157"/>
      <c r="AZ11" s="157"/>
      <c r="BA11" s="157"/>
      <c r="BB11" s="157"/>
      <c r="BC11" s="197"/>
      <c r="BD11" s="157"/>
      <c r="BE11" s="157"/>
      <c r="BF11" s="157"/>
      <c r="BG11" s="157"/>
      <c r="BH11" s="157"/>
      <c r="BI11" s="157"/>
      <c r="BJ11" s="157"/>
      <c r="BK11" s="157"/>
      <c r="BL11" s="157"/>
      <c r="BM11" s="157"/>
      <c r="BN11" s="159"/>
      <c r="BO11" s="160"/>
    </row>
    <row r="12" spans="1:68" ht="15" customHeight="1" x14ac:dyDescent="0.3">
      <c r="A12" s="494"/>
      <c r="B12" s="497"/>
      <c r="C12" s="491"/>
      <c r="D12" s="491"/>
      <c r="E12" s="491"/>
      <c r="F12" s="491"/>
      <c r="G12" s="488" t="str">
        <f>+IF(AND(C12="Si",D12="Si",E12="Si",F12="Si"),"Corrupción","No aplica para riesgo de corrupción")</f>
        <v>No aplica para riesgo de corrupción</v>
      </c>
      <c r="H12" s="163"/>
      <c r="I12" s="500"/>
      <c r="J12" s="497"/>
      <c r="K12" s="497"/>
      <c r="L12" s="497"/>
      <c r="M12" s="497"/>
      <c r="N12" s="497"/>
      <c r="O12" s="497"/>
      <c r="P12" s="497"/>
      <c r="Q12" s="497"/>
      <c r="R12" s="497"/>
      <c r="S12" s="497"/>
      <c r="T12" s="497"/>
      <c r="U12" s="497"/>
      <c r="V12" s="497"/>
      <c r="W12" s="497"/>
      <c r="X12" s="497"/>
      <c r="Y12" s="497"/>
      <c r="Z12" s="497"/>
      <c r="AA12" s="497"/>
      <c r="AB12" s="497"/>
      <c r="AC12" s="485">
        <f>+COUNTIF(J12:AB21,"SI")</f>
        <v>0</v>
      </c>
      <c r="AD12" s="488"/>
      <c r="AE12" s="488" t="str">
        <f>IFERROR(VLOOKUP(AD12,[3]Formulas!$B$5:$C$9,2,0),"")</f>
        <v/>
      </c>
      <c r="AF12" s="488" t="str">
        <f>IFERROR(VLOOKUP(AC12,Formulas!$W$5:$X$23,2,),"")</f>
        <v/>
      </c>
      <c r="AG12" s="488" t="str">
        <f>+IFERROR(VLOOKUP(AF12,Formulas!$E$5:$F$9,2,),"")</f>
        <v/>
      </c>
      <c r="AH12" s="520" t="str">
        <f>IFERROR(VLOOKUP(CONCATENATE(AE12,AG12),Formulas!$J$5:$K$29,2,),"")</f>
        <v/>
      </c>
      <c r="AI12" s="520" t="str">
        <f>IFERROR(AG12*AE12,"")</f>
        <v/>
      </c>
      <c r="AJ12" s="514" t="s">
        <v>313</v>
      </c>
      <c r="AK12" s="163"/>
      <c r="AL12" s="164"/>
      <c r="AM12" s="210"/>
      <c r="AN12" s="210"/>
      <c r="AO12" s="196"/>
      <c r="AP12" s="210"/>
      <c r="AQ12" s="210"/>
      <c r="AR12" s="198"/>
      <c r="AS12" s="196"/>
      <c r="AT12" s="207" t="str">
        <f>IFERROR(VLOOKUP(AM12,[3]Formulas!$AN$5:$AO$20,2,),"")</f>
        <v/>
      </c>
      <c r="AU12" s="207" t="str">
        <f>IFERROR(VLOOKUP(AN12,[3]Formulas!$AN$5:$AO$20,2,),"")</f>
        <v/>
      </c>
      <c r="AV12" s="207" t="str">
        <f>IFERROR(VLOOKUP(AO12,[3]Formulas!$AN$5:$AO$20,2,),"")</f>
        <v/>
      </c>
      <c r="AW12" s="207" t="str">
        <f>IFERROR(VLOOKUP(AP12,[3]Formulas!$AN$5:$AO$20,2,),"")</f>
        <v/>
      </c>
      <c r="AX12" s="207" t="str">
        <f>IFERROR(VLOOKUP(AQ12,[3]Formulas!$AN$5:$AO$20,2,),"")</f>
        <v/>
      </c>
      <c r="AY12" s="207" t="str">
        <f>IFERROR(VLOOKUP(AR12,[3]Formulas!$AN$5:$AO$20,2,),"")</f>
        <v/>
      </c>
      <c r="AZ12" s="207" t="str">
        <f>IFERROR(VLOOKUP(AS12,[3]Formulas!$AN$5:$AO$20,2,),"")</f>
        <v/>
      </c>
      <c r="BA12" s="207">
        <f>+SUM(AT12:AZ12)</f>
        <v>0</v>
      </c>
      <c r="BB12" s="207" t="str">
        <f>+IF(BA12&gt;=96,"Fuerte",IF(AND(BA12&lt;96,BA12&gt;=86),"Moderado",IF(BA12&lt;=85,"Débil")))</f>
        <v>Débil</v>
      </c>
      <c r="BC12" s="208"/>
      <c r="BD12" s="207" t="str">
        <f>IFERROR(VLOOKUP(CONCATENATE(BB12,"+",BC12),[3]Formulas!$AB$5:$AC$13,2,),"")</f>
        <v/>
      </c>
      <c r="BE12" s="207" t="str">
        <f>IFERROR(VLOOKUP(BD12,[3]Formulas!$AC$5:$AD$13,2,),"")</f>
        <v/>
      </c>
      <c r="BF12" s="514" t="str">
        <f>+IFERROR(AVERAGE(BE12:BE21),"")</f>
        <v/>
      </c>
      <c r="BG12" s="514" t="str">
        <f>+IF(BF12="","",IF(BF12=100,"Fuerte",IF(AND(BF12&lt;100,BF12&gt;=50),"Moderado",IF(BF12&lt;50,"Débil"))))</f>
        <v/>
      </c>
      <c r="BH12" s="514" t="str">
        <f>+IF(BG12="","",IF(BG12="Fuerte",2,IF(BG12="Moderado",1,IF(BG12="Débil",0))))</f>
        <v/>
      </c>
      <c r="BI12" s="514" t="str">
        <f>IFERROR(IF((BJ12-BH12)&lt;=0,"RARA VEZ",VLOOKUP((BJ12-BH12),Formulas!$AQ$5:$AR$9,2,0)),"")</f>
        <v/>
      </c>
      <c r="BJ12" s="514" t="str">
        <f>+AE12</f>
        <v/>
      </c>
      <c r="BK12" s="514" t="str">
        <f>IFERROR(VLOOKUP(BI12,Formulas!$B$5:$C$9,2,),"")</f>
        <v/>
      </c>
      <c r="BL12" s="514" t="str">
        <f>+AF12</f>
        <v/>
      </c>
      <c r="BM12" s="517" t="str">
        <f>IFERROR(VLOOKUP(BL12,[3]Formulas!$E$5:$F$9,2,),"")</f>
        <v/>
      </c>
      <c r="BN12" s="508" t="str">
        <f>IFERROR(VLOOKUP(CONCATENATE(BK12:BK21,BM12),Formulas!$J$5:$K$29,2,),"")</f>
        <v/>
      </c>
      <c r="BO12" s="511" t="str">
        <f t="shared" ref="BO12" si="0">IFERROR(BM12*BK12,"")</f>
        <v/>
      </c>
    </row>
    <row r="13" spans="1:68" ht="15" customHeight="1" x14ac:dyDescent="0.3">
      <c r="A13" s="495"/>
      <c r="B13" s="498"/>
      <c r="C13" s="492"/>
      <c r="D13" s="492"/>
      <c r="E13" s="492"/>
      <c r="F13" s="492"/>
      <c r="G13" s="489"/>
      <c r="H13" s="165"/>
      <c r="I13" s="501"/>
      <c r="J13" s="498"/>
      <c r="K13" s="498"/>
      <c r="L13" s="498"/>
      <c r="M13" s="498"/>
      <c r="N13" s="498"/>
      <c r="O13" s="498"/>
      <c r="P13" s="498"/>
      <c r="Q13" s="498"/>
      <c r="R13" s="498"/>
      <c r="S13" s="498"/>
      <c r="T13" s="498"/>
      <c r="U13" s="498"/>
      <c r="V13" s="498"/>
      <c r="W13" s="498"/>
      <c r="X13" s="498"/>
      <c r="Y13" s="498"/>
      <c r="Z13" s="498"/>
      <c r="AA13" s="498"/>
      <c r="AB13" s="498"/>
      <c r="AC13" s="486"/>
      <c r="AD13" s="489"/>
      <c r="AE13" s="489"/>
      <c r="AF13" s="489"/>
      <c r="AG13" s="489"/>
      <c r="AH13" s="521"/>
      <c r="AI13" s="521"/>
      <c r="AJ13" s="515"/>
      <c r="AK13" s="165"/>
      <c r="AL13" s="164"/>
      <c r="AM13" s="210"/>
      <c r="AN13" s="210"/>
      <c r="AO13" s="210"/>
      <c r="AP13" s="210"/>
      <c r="AQ13" s="210"/>
      <c r="AR13" s="198"/>
      <c r="AS13" s="210"/>
      <c r="AT13" s="208" t="str">
        <f>IFERROR(VLOOKUP(AM13,[3]Formulas!$AN$5:$AO$20,2,),"")</f>
        <v/>
      </c>
      <c r="AU13" s="208" t="str">
        <f>IFERROR(VLOOKUP(AN13,[3]Formulas!$AN$5:$AO$20,2,),"")</f>
        <v/>
      </c>
      <c r="AV13" s="208" t="str">
        <f>IFERROR(VLOOKUP(AO13,[3]Formulas!$AN$5:$AO$20,2,),"")</f>
        <v/>
      </c>
      <c r="AW13" s="208" t="str">
        <f>IFERROR(VLOOKUP(AP13,[3]Formulas!$AN$5:$AO$20,2,),"")</f>
        <v/>
      </c>
      <c r="AX13" s="208" t="str">
        <f>IFERROR(VLOOKUP(AQ13,[3]Formulas!$AN$5:$AO$20,2,),"")</f>
        <v/>
      </c>
      <c r="AY13" s="208" t="str">
        <f>IFERROR(VLOOKUP(AR13,[3]Formulas!$AN$5:$AO$20,2,),"")</f>
        <v/>
      </c>
      <c r="AZ13" s="208" t="str">
        <f>IFERROR(VLOOKUP(AS13,[3]Formulas!$AN$5:$AO$20,2,),"")</f>
        <v/>
      </c>
      <c r="BA13" s="208">
        <f t="shared" ref="BA13:BA21" si="1">+SUM(AT13:AZ13)</f>
        <v>0</v>
      </c>
      <c r="BB13" s="208" t="str">
        <f t="shared" ref="BB13:BB21" si="2">+IF(BA13&gt;=96,"Fuerte",IF(AND(BA13&lt;96,BA13&gt;=86),"Moderado",IF(BA13&lt;=85,"Débil")))</f>
        <v>Débil</v>
      </c>
      <c r="BC13" s="208"/>
      <c r="BD13" s="208" t="str">
        <f>IFERROR(VLOOKUP(CONCATENATE(BB13,"+",BC13),[3]Formulas!$AB$5:$AC$13,2,),"")</f>
        <v/>
      </c>
      <c r="BE13" s="208" t="str">
        <f>IFERROR(VLOOKUP(BD13,[3]Formulas!$AC$5:$AD$13,2,),"")</f>
        <v/>
      </c>
      <c r="BF13" s="515"/>
      <c r="BG13" s="515"/>
      <c r="BH13" s="515"/>
      <c r="BI13" s="515"/>
      <c r="BJ13" s="515"/>
      <c r="BK13" s="515"/>
      <c r="BL13" s="515"/>
      <c r="BM13" s="518"/>
      <c r="BN13" s="509"/>
      <c r="BO13" s="512"/>
    </row>
    <row r="14" spans="1:68" ht="15" customHeight="1" x14ac:dyDescent="0.3">
      <c r="A14" s="495"/>
      <c r="B14" s="498"/>
      <c r="C14" s="492"/>
      <c r="D14" s="492"/>
      <c r="E14" s="492"/>
      <c r="F14" s="492"/>
      <c r="G14" s="489"/>
      <c r="H14" s="165"/>
      <c r="I14" s="501"/>
      <c r="J14" s="498"/>
      <c r="K14" s="498"/>
      <c r="L14" s="498"/>
      <c r="M14" s="498"/>
      <c r="N14" s="498"/>
      <c r="O14" s="498"/>
      <c r="P14" s="498"/>
      <c r="Q14" s="498"/>
      <c r="R14" s="498"/>
      <c r="S14" s="498"/>
      <c r="T14" s="498"/>
      <c r="U14" s="498"/>
      <c r="V14" s="498"/>
      <c r="W14" s="498"/>
      <c r="X14" s="498"/>
      <c r="Y14" s="498"/>
      <c r="Z14" s="498"/>
      <c r="AA14" s="498"/>
      <c r="AB14" s="498"/>
      <c r="AC14" s="486"/>
      <c r="AD14" s="489"/>
      <c r="AE14" s="489"/>
      <c r="AF14" s="489"/>
      <c r="AG14" s="489"/>
      <c r="AH14" s="521"/>
      <c r="AI14" s="521"/>
      <c r="AJ14" s="515"/>
      <c r="AK14" s="165"/>
      <c r="AL14" s="164"/>
      <c r="AM14" s="210"/>
      <c r="AN14" s="210"/>
      <c r="AO14" s="210"/>
      <c r="AP14" s="210"/>
      <c r="AQ14" s="210"/>
      <c r="AR14" s="198"/>
      <c r="AS14" s="210"/>
      <c r="AT14" s="208" t="str">
        <f>IFERROR(VLOOKUP(AM14,[3]Formulas!$AN$5:$AO$20,2,),"")</f>
        <v/>
      </c>
      <c r="AU14" s="208" t="str">
        <f>IFERROR(VLOOKUP(AN14,[3]Formulas!$AN$5:$AO$20,2,),"")</f>
        <v/>
      </c>
      <c r="AV14" s="208" t="str">
        <f>IFERROR(VLOOKUP(AO14,[3]Formulas!$AN$5:$AO$20,2,),"")</f>
        <v/>
      </c>
      <c r="AW14" s="208" t="str">
        <f>IFERROR(VLOOKUP(AP14,[3]Formulas!$AN$5:$AO$20,2,),"")</f>
        <v/>
      </c>
      <c r="AX14" s="208" t="str">
        <f>IFERROR(VLOOKUP(AQ14,[3]Formulas!$AN$5:$AO$20,2,),"")</f>
        <v/>
      </c>
      <c r="AY14" s="208" t="str">
        <f>IFERROR(VLOOKUP(AR14,[3]Formulas!$AN$5:$AO$20,2,),"")</f>
        <v/>
      </c>
      <c r="AZ14" s="208" t="str">
        <f>IFERROR(VLOOKUP(AS14,[3]Formulas!$AN$5:$AO$20,2,),"")</f>
        <v/>
      </c>
      <c r="BA14" s="208">
        <f t="shared" si="1"/>
        <v>0</v>
      </c>
      <c r="BB14" s="208" t="str">
        <f t="shared" si="2"/>
        <v>Débil</v>
      </c>
      <c r="BC14" s="208"/>
      <c r="BD14" s="208" t="str">
        <f>IFERROR(VLOOKUP(CONCATENATE(BB14,"+",BC14),[3]Formulas!$AB$5:$AC$13,2,),"")</f>
        <v/>
      </c>
      <c r="BE14" s="208" t="str">
        <f>IFERROR(VLOOKUP(BD14,[3]Formulas!$AC$5:$AD$13,2,),"")</f>
        <v/>
      </c>
      <c r="BF14" s="515"/>
      <c r="BG14" s="515"/>
      <c r="BH14" s="515"/>
      <c r="BI14" s="515"/>
      <c r="BJ14" s="515"/>
      <c r="BK14" s="515"/>
      <c r="BL14" s="515"/>
      <c r="BM14" s="518"/>
      <c r="BN14" s="509"/>
      <c r="BO14" s="512"/>
    </row>
    <row r="15" spans="1:68" ht="15" customHeight="1" x14ac:dyDescent="0.3">
      <c r="A15" s="495"/>
      <c r="B15" s="498"/>
      <c r="C15" s="492"/>
      <c r="D15" s="492"/>
      <c r="E15" s="492"/>
      <c r="F15" s="492"/>
      <c r="G15" s="489"/>
      <c r="H15" s="165"/>
      <c r="I15" s="501"/>
      <c r="J15" s="498"/>
      <c r="K15" s="498"/>
      <c r="L15" s="498"/>
      <c r="M15" s="498"/>
      <c r="N15" s="498"/>
      <c r="O15" s="498"/>
      <c r="P15" s="498"/>
      <c r="Q15" s="498"/>
      <c r="R15" s="498"/>
      <c r="S15" s="498"/>
      <c r="T15" s="498"/>
      <c r="U15" s="498"/>
      <c r="V15" s="498"/>
      <c r="W15" s="498"/>
      <c r="X15" s="498"/>
      <c r="Y15" s="498"/>
      <c r="Z15" s="498"/>
      <c r="AA15" s="498"/>
      <c r="AB15" s="498"/>
      <c r="AC15" s="486"/>
      <c r="AD15" s="489"/>
      <c r="AE15" s="489"/>
      <c r="AF15" s="489"/>
      <c r="AG15" s="489"/>
      <c r="AH15" s="521"/>
      <c r="AI15" s="521"/>
      <c r="AJ15" s="515"/>
      <c r="AK15" s="165"/>
      <c r="AL15" s="164"/>
      <c r="AM15" s="210"/>
      <c r="AN15" s="210"/>
      <c r="AO15" s="210"/>
      <c r="AP15" s="210"/>
      <c r="AQ15" s="210"/>
      <c r="AR15" s="198"/>
      <c r="AS15" s="210"/>
      <c r="AT15" s="208" t="str">
        <f>IFERROR(VLOOKUP(AM15,[3]Formulas!$AN$5:$AO$20,2,),"")</f>
        <v/>
      </c>
      <c r="AU15" s="208" t="str">
        <f>IFERROR(VLOOKUP(AN15,[3]Formulas!$AN$5:$AO$20,2,),"")</f>
        <v/>
      </c>
      <c r="AV15" s="208" t="str">
        <f>IFERROR(VLOOKUP(AO15,[3]Formulas!$AN$5:$AO$20,2,),"")</f>
        <v/>
      </c>
      <c r="AW15" s="208" t="str">
        <f>IFERROR(VLOOKUP(AP15,[3]Formulas!$AN$5:$AO$20,2,),"")</f>
        <v/>
      </c>
      <c r="AX15" s="208" t="str">
        <f>IFERROR(VLOOKUP(AQ15,[3]Formulas!$AN$5:$AO$20,2,),"")</f>
        <v/>
      </c>
      <c r="AY15" s="208" t="str">
        <f>IFERROR(VLOOKUP(AR15,[3]Formulas!$AN$5:$AO$20,2,),"")</f>
        <v/>
      </c>
      <c r="AZ15" s="208" t="str">
        <f>IFERROR(VLOOKUP(AS15,[3]Formulas!$AN$5:$AO$20,2,),"")</f>
        <v/>
      </c>
      <c r="BA15" s="208">
        <f t="shared" si="1"/>
        <v>0</v>
      </c>
      <c r="BB15" s="208" t="str">
        <f t="shared" si="2"/>
        <v>Débil</v>
      </c>
      <c r="BC15" s="208"/>
      <c r="BD15" s="208" t="str">
        <f>IFERROR(VLOOKUP(CONCATENATE(BB15,"+",BC15),[3]Formulas!$AB$5:$AC$13,2,),"")</f>
        <v/>
      </c>
      <c r="BE15" s="208" t="str">
        <f>IFERROR(VLOOKUP(BD15,[3]Formulas!$AC$5:$AD$13,2,),"")</f>
        <v/>
      </c>
      <c r="BF15" s="515"/>
      <c r="BG15" s="515"/>
      <c r="BH15" s="515"/>
      <c r="BI15" s="515"/>
      <c r="BJ15" s="515"/>
      <c r="BK15" s="515"/>
      <c r="BL15" s="515"/>
      <c r="BM15" s="518"/>
      <c r="BN15" s="509"/>
      <c r="BO15" s="512"/>
    </row>
    <row r="16" spans="1:68" ht="15" customHeight="1" x14ac:dyDescent="0.3">
      <c r="A16" s="495"/>
      <c r="B16" s="498"/>
      <c r="C16" s="492"/>
      <c r="D16" s="492"/>
      <c r="E16" s="492"/>
      <c r="F16" s="492"/>
      <c r="G16" s="489"/>
      <c r="H16" s="165"/>
      <c r="I16" s="501"/>
      <c r="J16" s="498"/>
      <c r="K16" s="498"/>
      <c r="L16" s="498"/>
      <c r="M16" s="498"/>
      <c r="N16" s="498"/>
      <c r="O16" s="498"/>
      <c r="P16" s="498"/>
      <c r="Q16" s="498"/>
      <c r="R16" s="498"/>
      <c r="S16" s="498"/>
      <c r="T16" s="498"/>
      <c r="U16" s="498"/>
      <c r="V16" s="498"/>
      <c r="W16" s="498"/>
      <c r="X16" s="498"/>
      <c r="Y16" s="498"/>
      <c r="Z16" s="498"/>
      <c r="AA16" s="498"/>
      <c r="AB16" s="498"/>
      <c r="AC16" s="486"/>
      <c r="AD16" s="489"/>
      <c r="AE16" s="489"/>
      <c r="AF16" s="489"/>
      <c r="AG16" s="489"/>
      <c r="AH16" s="521"/>
      <c r="AI16" s="521"/>
      <c r="AJ16" s="515"/>
      <c r="AK16" s="165"/>
      <c r="AL16" s="164"/>
      <c r="AM16" s="210"/>
      <c r="AN16" s="210"/>
      <c r="AO16" s="210"/>
      <c r="AP16" s="210"/>
      <c r="AQ16" s="210"/>
      <c r="AR16" s="198"/>
      <c r="AS16" s="210"/>
      <c r="AT16" s="208" t="str">
        <f>IFERROR(VLOOKUP(AM16,[3]Formulas!$AN$5:$AO$20,2,),"")</f>
        <v/>
      </c>
      <c r="AU16" s="208" t="str">
        <f>IFERROR(VLOOKUP(AN16,[3]Formulas!$AN$5:$AO$20,2,),"")</f>
        <v/>
      </c>
      <c r="AV16" s="208" t="str">
        <f>IFERROR(VLOOKUP(AO16,[3]Formulas!$AN$5:$AO$20,2,),"")</f>
        <v/>
      </c>
      <c r="AW16" s="208" t="str">
        <f>IFERROR(VLOOKUP(AP16,[3]Formulas!$AN$5:$AO$20,2,),"")</f>
        <v/>
      </c>
      <c r="AX16" s="208" t="str">
        <f>IFERROR(VLOOKUP(AQ16,[3]Formulas!$AN$5:$AO$20,2,),"")</f>
        <v/>
      </c>
      <c r="AY16" s="208" t="str">
        <f>IFERROR(VLOOKUP(AR16,[3]Formulas!$AN$5:$AO$20,2,),"")</f>
        <v/>
      </c>
      <c r="AZ16" s="208" t="str">
        <f>IFERROR(VLOOKUP(AS16,[3]Formulas!$AN$5:$AO$20,2,),"")</f>
        <v/>
      </c>
      <c r="BA16" s="208">
        <f t="shared" si="1"/>
        <v>0</v>
      </c>
      <c r="BB16" s="208" t="str">
        <f t="shared" si="2"/>
        <v>Débil</v>
      </c>
      <c r="BC16" s="208"/>
      <c r="BD16" s="208" t="str">
        <f>IFERROR(VLOOKUP(CONCATENATE(BB16,"+",BC16),[3]Formulas!$AB$5:$AC$13,2,),"")</f>
        <v/>
      </c>
      <c r="BE16" s="208" t="str">
        <f>IFERROR(VLOOKUP(BD16,[3]Formulas!$AC$5:$AD$13,2,),"")</f>
        <v/>
      </c>
      <c r="BF16" s="515"/>
      <c r="BG16" s="515"/>
      <c r="BH16" s="515"/>
      <c r="BI16" s="515"/>
      <c r="BJ16" s="515"/>
      <c r="BK16" s="515"/>
      <c r="BL16" s="515"/>
      <c r="BM16" s="518"/>
      <c r="BN16" s="509"/>
      <c r="BO16" s="512"/>
    </row>
    <row r="17" spans="1:67" ht="15" customHeight="1" x14ac:dyDescent="0.3">
      <c r="A17" s="495"/>
      <c r="B17" s="498"/>
      <c r="C17" s="492"/>
      <c r="D17" s="492"/>
      <c r="E17" s="492"/>
      <c r="F17" s="492"/>
      <c r="G17" s="489"/>
      <c r="H17" s="165"/>
      <c r="I17" s="501"/>
      <c r="J17" s="498"/>
      <c r="K17" s="498"/>
      <c r="L17" s="498"/>
      <c r="M17" s="498"/>
      <c r="N17" s="498"/>
      <c r="O17" s="498"/>
      <c r="P17" s="498"/>
      <c r="Q17" s="498"/>
      <c r="R17" s="498"/>
      <c r="S17" s="498"/>
      <c r="T17" s="498"/>
      <c r="U17" s="498"/>
      <c r="V17" s="498"/>
      <c r="W17" s="498"/>
      <c r="X17" s="498"/>
      <c r="Y17" s="498"/>
      <c r="Z17" s="498"/>
      <c r="AA17" s="498"/>
      <c r="AB17" s="498"/>
      <c r="AC17" s="486"/>
      <c r="AD17" s="489"/>
      <c r="AE17" s="489"/>
      <c r="AF17" s="489"/>
      <c r="AG17" s="489"/>
      <c r="AH17" s="521"/>
      <c r="AI17" s="521"/>
      <c r="AJ17" s="515"/>
      <c r="AK17" s="165"/>
      <c r="AL17" s="164"/>
      <c r="AM17" s="210"/>
      <c r="AN17" s="210"/>
      <c r="AO17" s="210"/>
      <c r="AP17" s="210"/>
      <c r="AQ17" s="210"/>
      <c r="AR17" s="198"/>
      <c r="AS17" s="210"/>
      <c r="AT17" s="208" t="str">
        <f>IFERROR(VLOOKUP(AM17,[3]Formulas!$AN$5:$AO$20,2,),"")</f>
        <v/>
      </c>
      <c r="AU17" s="208" t="str">
        <f>IFERROR(VLOOKUP(AN17,[3]Formulas!$AN$5:$AO$20,2,),"")</f>
        <v/>
      </c>
      <c r="AV17" s="208" t="str">
        <f>IFERROR(VLOOKUP(AO17,[3]Formulas!$AN$5:$AO$20,2,),"")</f>
        <v/>
      </c>
      <c r="AW17" s="208" t="str">
        <f>IFERROR(VLOOKUP(AP17,[3]Formulas!$AN$5:$AO$20,2,),"")</f>
        <v/>
      </c>
      <c r="AX17" s="208" t="str">
        <f>IFERROR(VLOOKUP(AQ17,[3]Formulas!$AN$5:$AO$20,2,),"")</f>
        <v/>
      </c>
      <c r="AY17" s="208" t="str">
        <f>IFERROR(VLOOKUP(AR17,[3]Formulas!$AN$5:$AO$20,2,),"")</f>
        <v/>
      </c>
      <c r="AZ17" s="208" t="str">
        <f>IFERROR(VLOOKUP(AS17,[3]Formulas!$AN$5:$AO$20,2,),"")</f>
        <v/>
      </c>
      <c r="BA17" s="208">
        <f t="shared" si="1"/>
        <v>0</v>
      </c>
      <c r="BB17" s="208" t="str">
        <f t="shared" si="2"/>
        <v>Débil</v>
      </c>
      <c r="BC17" s="208"/>
      <c r="BD17" s="208" t="str">
        <f>IFERROR(VLOOKUP(CONCATENATE(BB17,"+",BC17),[3]Formulas!$AB$5:$AC$13,2,),"")</f>
        <v/>
      </c>
      <c r="BE17" s="208" t="str">
        <f>IFERROR(VLOOKUP(BD17,[3]Formulas!$AC$5:$AD$13,2,),"")</f>
        <v/>
      </c>
      <c r="BF17" s="515"/>
      <c r="BG17" s="515"/>
      <c r="BH17" s="515"/>
      <c r="BI17" s="515"/>
      <c r="BJ17" s="515"/>
      <c r="BK17" s="515"/>
      <c r="BL17" s="515"/>
      <c r="BM17" s="518"/>
      <c r="BN17" s="509"/>
      <c r="BO17" s="512"/>
    </row>
    <row r="18" spans="1:67" ht="15" customHeight="1" x14ac:dyDescent="0.3">
      <c r="A18" s="495"/>
      <c r="B18" s="498"/>
      <c r="C18" s="492"/>
      <c r="D18" s="492"/>
      <c r="E18" s="492"/>
      <c r="F18" s="492"/>
      <c r="G18" s="489"/>
      <c r="H18" s="164"/>
      <c r="I18" s="501"/>
      <c r="J18" s="498"/>
      <c r="K18" s="498"/>
      <c r="L18" s="498"/>
      <c r="M18" s="498"/>
      <c r="N18" s="498"/>
      <c r="O18" s="498"/>
      <c r="P18" s="498"/>
      <c r="Q18" s="498"/>
      <c r="R18" s="498"/>
      <c r="S18" s="498"/>
      <c r="T18" s="498"/>
      <c r="U18" s="498"/>
      <c r="V18" s="498"/>
      <c r="W18" s="498"/>
      <c r="X18" s="498"/>
      <c r="Y18" s="498"/>
      <c r="Z18" s="498"/>
      <c r="AA18" s="498"/>
      <c r="AB18" s="498"/>
      <c r="AC18" s="486"/>
      <c r="AD18" s="489"/>
      <c r="AE18" s="489"/>
      <c r="AF18" s="489"/>
      <c r="AG18" s="489"/>
      <c r="AH18" s="521"/>
      <c r="AI18" s="521"/>
      <c r="AJ18" s="515"/>
      <c r="AK18" s="165"/>
      <c r="AL18" s="164"/>
      <c r="AM18" s="210"/>
      <c r="AN18" s="210"/>
      <c r="AO18" s="210"/>
      <c r="AP18" s="210"/>
      <c r="AQ18" s="210"/>
      <c r="AR18" s="198"/>
      <c r="AS18" s="210"/>
      <c r="AT18" s="208" t="str">
        <f>IFERROR(VLOOKUP(AM18,[3]Formulas!$AN$5:$AO$20,2,),"")</f>
        <v/>
      </c>
      <c r="AU18" s="208" t="str">
        <f>IFERROR(VLOOKUP(AN18,[3]Formulas!$AN$5:$AO$20,2,),"")</f>
        <v/>
      </c>
      <c r="AV18" s="208" t="str">
        <f>IFERROR(VLOOKUP(AO18,[3]Formulas!$AN$5:$AO$20,2,),"")</f>
        <v/>
      </c>
      <c r="AW18" s="208" t="str">
        <f>IFERROR(VLOOKUP(AP18,[3]Formulas!$AN$5:$AO$20,2,),"")</f>
        <v/>
      </c>
      <c r="AX18" s="208" t="str">
        <f>IFERROR(VLOOKUP(AQ18,[3]Formulas!$AN$5:$AO$20,2,),"")</f>
        <v/>
      </c>
      <c r="AY18" s="208" t="str">
        <f>IFERROR(VLOOKUP(AR18,[3]Formulas!$AN$5:$AO$20,2,),"")</f>
        <v/>
      </c>
      <c r="AZ18" s="208" t="str">
        <f>IFERROR(VLOOKUP(AS18,[3]Formulas!$AN$5:$AO$20,2,),"")</f>
        <v/>
      </c>
      <c r="BA18" s="208">
        <f t="shared" si="1"/>
        <v>0</v>
      </c>
      <c r="BB18" s="208" t="str">
        <f t="shared" si="2"/>
        <v>Débil</v>
      </c>
      <c r="BC18" s="208"/>
      <c r="BD18" s="208" t="str">
        <f>IFERROR(VLOOKUP(CONCATENATE(BB18,"+",BC18),[3]Formulas!$AB$5:$AC$13,2,),"")</f>
        <v/>
      </c>
      <c r="BE18" s="208" t="str">
        <f>IFERROR(VLOOKUP(BD18,[3]Formulas!$AC$5:$AD$13,2,),"")</f>
        <v/>
      </c>
      <c r="BF18" s="515"/>
      <c r="BG18" s="515"/>
      <c r="BH18" s="515"/>
      <c r="BI18" s="515"/>
      <c r="BJ18" s="515"/>
      <c r="BK18" s="515"/>
      <c r="BL18" s="515"/>
      <c r="BM18" s="518"/>
      <c r="BN18" s="509"/>
      <c r="BO18" s="512"/>
    </row>
    <row r="19" spans="1:67" ht="15" customHeight="1" x14ac:dyDescent="0.3">
      <c r="A19" s="495"/>
      <c r="B19" s="498"/>
      <c r="C19" s="492"/>
      <c r="D19" s="492"/>
      <c r="E19" s="492"/>
      <c r="F19" s="492"/>
      <c r="G19" s="489"/>
      <c r="H19" s="164"/>
      <c r="I19" s="501"/>
      <c r="J19" s="498"/>
      <c r="K19" s="498"/>
      <c r="L19" s="498"/>
      <c r="M19" s="498"/>
      <c r="N19" s="498"/>
      <c r="O19" s="498"/>
      <c r="P19" s="498"/>
      <c r="Q19" s="498"/>
      <c r="R19" s="498"/>
      <c r="S19" s="498"/>
      <c r="T19" s="498"/>
      <c r="U19" s="498"/>
      <c r="V19" s="498"/>
      <c r="W19" s="498"/>
      <c r="X19" s="498"/>
      <c r="Y19" s="498"/>
      <c r="Z19" s="498"/>
      <c r="AA19" s="498"/>
      <c r="AB19" s="498"/>
      <c r="AC19" s="486"/>
      <c r="AD19" s="489"/>
      <c r="AE19" s="489"/>
      <c r="AF19" s="489"/>
      <c r="AG19" s="489"/>
      <c r="AH19" s="521"/>
      <c r="AI19" s="521"/>
      <c r="AJ19" s="515"/>
      <c r="AK19" s="165"/>
      <c r="AL19" s="164"/>
      <c r="AM19" s="210"/>
      <c r="AN19" s="210"/>
      <c r="AO19" s="210"/>
      <c r="AP19" s="210"/>
      <c r="AQ19" s="210"/>
      <c r="AR19" s="198"/>
      <c r="AS19" s="210"/>
      <c r="AT19" s="208" t="str">
        <f>IFERROR(VLOOKUP(AM19,[3]Formulas!$AN$5:$AO$20,2,),"")</f>
        <v/>
      </c>
      <c r="AU19" s="208" t="str">
        <f>IFERROR(VLOOKUP(AN19,[3]Formulas!$AN$5:$AO$20,2,),"")</f>
        <v/>
      </c>
      <c r="AV19" s="208" t="str">
        <f>IFERROR(VLOOKUP(AO19,[3]Formulas!$AN$5:$AO$20,2,),"")</f>
        <v/>
      </c>
      <c r="AW19" s="208" t="str">
        <f>IFERROR(VLOOKUP(AP19,[3]Formulas!$AN$5:$AO$20,2,),"")</f>
        <v/>
      </c>
      <c r="AX19" s="208" t="str">
        <f>IFERROR(VLOOKUP(AQ19,[3]Formulas!$AN$5:$AO$20,2,),"")</f>
        <v/>
      </c>
      <c r="AY19" s="208" t="str">
        <f>IFERROR(VLOOKUP(AR19,[3]Formulas!$AN$5:$AO$20,2,),"")</f>
        <v/>
      </c>
      <c r="AZ19" s="208" t="str">
        <f>IFERROR(VLOOKUP(AS19,[3]Formulas!$AN$5:$AO$20,2,),"")</f>
        <v/>
      </c>
      <c r="BA19" s="208">
        <f t="shared" si="1"/>
        <v>0</v>
      </c>
      <c r="BB19" s="208" t="str">
        <f t="shared" si="2"/>
        <v>Débil</v>
      </c>
      <c r="BC19" s="208"/>
      <c r="BD19" s="208" t="str">
        <f>IFERROR(VLOOKUP(CONCATENATE(BB19,"+",BC19),[3]Formulas!$AB$5:$AC$13,2,),"")</f>
        <v/>
      </c>
      <c r="BE19" s="208" t="str">
        <f>IFERROR(VLOOKUP(BD19,[3]Formulas!$AC$5:$AD$13,2,),"")</f>
        <v/>
      </c>
      <c r="BF19" s="515"/>
      <c r="BG19" s="515"/>
      <c r="BH19" s="515"/>
      <c r="BI19" s="515"/>
      <c r="BJ19" s="515"/>
      <c r="BK19" s="515"/>
      <c r="BL19" s="515"/>
      <c r="BM19" s="518"/>
      <c r="BN19" s="509"/>
      <c r="BO19" s="512"/>
    </row>
    <row r="20" spans="1:67" ht="15" customHeight="1" x14ac:dyDescent="0.3">
      <c r="A20" s="495"/>
      <c r="B20" s="498"/>
      <c r="C20" s="492"/>
      <c r="D20" s="492"/>
      <c r="E20" s="492"/>
      <c r="F20" s="492"/>
      <c r="G20" s="489"/>
      <c r="H20" s="164"/>
      <c r="I20" s="501"/>
      <c r="J20" s="498"/>
      <c r="K20" s="498"/>
      <c r="L20" s="498"/>
      <c r="M20" s="498"/>
      <c r="N20" s="498"/>
      <c r="O20" s="498"/>
      <c r="P20" s="498"/>
      <c r="Q20" s="498"/>
      <c r="R20" s="498"/>
      <c r="S20" s="498"/>
      <c r="T20" s="498"/>
      <c r="U20" s="498"/>
      <c r="V20" s="498"/>
      <c r="W20" s="498"/>
      <c r="X20" s="498"/>
      <c r="Y20" s="498"/>
      <c r="Z20" s="498"/>
      <c r="AA20" s="498"/>
      <c r="AB20" s="498"/>
      <c r="AC20" s="486"/>
      <c r="AD20" s="489"/>
      <c r="AE20" s="489"/>
      <c r="AF20" s="489"/>
      <c r="AG20" s="489"/>
      <c r="AH20" s="521"/>
      <c r="AI20" s="521"/>
      <c r="AJ20" s="515"/>
      <c r="AK20" s="165"/>
      <c r="AL20" s="164"/>
      <c r="AM20" s="210"/>
      <c r="AN20" s="210"/>
      <c r="AO20" s="210"/>
      <c r="AP20" s="210"/>
      <c r="AQ20" s="210"/>
      <c r="AR20" s="198"/>
      <c r="AS20" s="210"/>
      <c r="AT20" s="208" t="str">
        <f>IFERROR(VLOOKUP(AM20,[3]Formulas!$AN$5:$AO$20,2,),"")</f>
        <v/>
      </c>
      <c r="AU20" s="208" t="str">
        <f>IFERROR(VLOOKUP(AN20,[3]Formulas!$AN$5:$AO$20,2,),"")</f>
        <v/>
      </c>
      <c r="AV20" s="208" t="str">
        <f>IFERROR(VLOOKUP(AO20,[3]Formulas!$AN$5:$AO$20,2,),"")</f>
        <v/>
      </c>
      <c r="AW20" s="208" t="str">
        <f>IFERROR(VLOOKUP(AP20,[3]Formulas!$AN$5:$AO$20,2,),"")</f>
        <v/>
      </c>
      <c r="AX20" s="208" t="str">
        <f>IFERROR(VLOOKUP(AQ20,[3]Formulas!$AN$5:$AO$20,2,),"")</f>
        <v/>
      </c>
      <c r="AY20" s="208" t="str">
        <f>IFERROR(VLOOKUP(AR20,[3]Formulas!$AN$5:$AO$20,2,),"")</f>
        <v/>
      </c>
      <c r="AZ20" s="208" t="str">
        <f>IFERROR(VLOOKUP(AS20,[3]Formulas!$AN$5:$AO$20,2,),"")</f>
        <v/>
      </c>
      <c r="BA20" s="208">
        <f t="shared" si="1"/>
        <v>0</v>
      </c>
      <c r="BB20" s="208" t="str">
        <f t="shared" si="2"/>
        <v>Débil</v>
      </c>
      <c r="BC20" s="208"/>
      <c r="BD20" s="208" t="str">
        <f>IFERROR(VLOOKUP(CONCATENATE(BB20,"+",BC20),[3]Formulas!$AB$5:$AC$13,2,),"")</f>
        <v/>
      </c>
      <c r="BE20" s="208" t="str">
        <f>IFERROR(VLOOKUP(BD20,[3]Formulas!$AC$5:$AD$13,2,),"")</f>
        <v/>
      </c>
      <c r="BF20" s="515"/>
      <c r="BG20" s="515"/>
      <c r="BH20" s="515"/>
      <c r="BI20" s="515"/>
      <c r="BJ20" s="515"/>
      <c r="BK20" s="515"/>
      <c r="BL20" s="515"/>
      <c r="BM20" s="518"/>
      <c r="BN20" s="509"/>
      <c r="BO20" s="512"/>
    </row>
    <row r="21" spans="1:67" ht="15.75" customHeight="1" thickBot="1" x14ac:dyDescent="0.35">
      <c r="A21" s="496"/>
      <c r="B21" s="499"/>
      <c r="C21" s="493"/>
      <c r="D21" s="493"/>
      <c r="E21" s="493"/>
      <c r="F21" s="493"/>
      <c r="G21" s="490"/>
      <c r="H21" s="166"/>
      <c r="I21" s="502"/>
      <c r="J21" s="499"/>
      <c r="K21" s="499"/>
      <c r="L21" s="499"/>
      <c r="M21" s="499"/>
      <c r="N21" s="499"/>
      <c r="O21" s="499"/>
      <c r="P21" s="499"/>
      <c r="Q21" s="499"/>
      <c r="R21" s="499"/>
      <c r="S21" s="499"/>
      <c r="T21" s="499"/>
      <c r="U21" s="499"/>
      <c r="V21" s="499"/>
      <c r="W21" s="499"/>
      <c r="X21" s="499"/>
      <c r="Y21" s="499"/>
      <c r="Z21" s="499"/>
      <c r="AA21" s="499"/>
      <c r="AB21" s="499"/>
      <c r="AC21" s="487"/>
      <c r="AD21" s="490"/>
      <c r="AE21" s="490"/>
      <c r="AF21" s="490"/>
      <c r="AG21" s="490"/>
      <c r="AH21" s="522"/>
      <c r="AI21" s="522"/>
      <c r="AJ21" s="516"/>
      <c r="AK21" s="167"/>
      <c r="AL21" s="164"/>
      <c r="AM21" s="210"/>
      <c r="AN21" s="210"/>
      <c r="AO21" s="210"/>
      <c r="AP21" s="210"/>
      <c r="AQ21" s="210"/>
      <c r="AR21" s="198"/>
      <c r="AS21" s="210"/>
      <c r="AT21" s="209" t="str">
        <f>IFERROR(VLOOKUP(AM21,[3]Formulas!$AN$5:$AO$20,2,),"")</f>
        <v/>
      </c>
      <c r="AU21" s="209" t="str">
        <f>IFERROR(VLOOKUP(AN21,[3]Formulas!$AN$5:$AO$20,2,),"")</f>
        <v/>
      </c>
      <c r="AV21" s="209" t="str">
        <f>IFERROR(VLOOKUP(AO21,[3]Formulas!$AN$5:$AO$20,2,),"")</f>
        <v/>
      </c>
      <c r="AW21" s="209" t="str">
        <f>IFERROR(VLOOKUP(AP21,[3]Formulas!$AN$5:$AO$20,2,),"")</f>
        <v/>
      </c>
      <c r="AX21" s="209" t="str">
        <f>IFERROR(VLOOKUP(AQ21,[3]Formulas!$AN$5:$AO$20,2,),"")</f>
        <v/>
      </c>
      <c r="AY21" s="209" t="str">
        <f>IFERROR(VLOOKUP(AR21,[3]Formulas!$AN$5:$AO$20,2,),"")</f>
        <v/>
      </c>
      <c r="AZ21" s="209" t="str">
        <f>IFERROR(VLOOKUP(AS21,[3]Formulas!$AN$5:$AO$20,2,),"")</f>
        <v/>
      </c>
      <c r="BA21" s="209">
        <f t="shared" si="1"/>
        <v>0</v>
      </c>
      <c r="BB21" s="209" t="str">
        <f t="shared" si="2"/>
        <v>Débil</v>
      </c>
      <c r="BC21" s="208"/>
      <c r="BD21" s="209" t="str">
        <f>IFERROR(VLOOKUP(CONCATENATE(BB21,"+",BC21),[3]Formulas!$AB$5:$AC$13,2,),"")</f>
        <v/>
      </c>
      <c r="BE21" s="209" t="str">
        <f>IFERROR(VLOOKUP(BD21,[3]Formulas!$AC$5:$AD$13,2,),"")</f>
        <v/>
      </c>
      <c r="BF21" s="516"/>
      <c r="BG21" s="516"/>
      <c r="BH21" s="516"/>
      <c r="BI21" s="516"/>
      <c r="BJ21" s="516"/>
      <c r="BK21" s="516"/>
      <c r="BL21" s="516"/>
      <c r="BM21" s="519"/>
      <c r="BN21" s="510"/>
      <c r="BO21" s="513"/>
    </row>
    <row r="22" spans="1:67" ht="16.2" thickBot="1" x14ac:dyDescent="0.35">
      <c r="A22" s="168"/>
      <c r="B22" s="168"/>
      <c r="C22" s="168"/>
      <c r="D22" s="168"/>
      <c r="E22" s="168"/>
      <c r="F22" s="168"/>
      <c r="G22" s="168"/>
      <c r="H22" s="168"/>
      <c r="I22" s="168"/>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70"/>
      <c r="BN22" s="170"/>
      <c r="BO22" s="160"/>
    </row>
    <row r="23" spans="1:67" ht="15" customHeight="1" x14ac:dyDescent="0.3">
      <c r="A23" s="494"/>
      <c r="B23" s="497"/>
      <c r="C23" s="491"/>
      <c r="D23" s="491"/>
      <c r="E23" s="491"/>
      <c r="F23" s="491"/>
      <c r="G23" s="488" t="str">
        <f>+IF(AND(C23="Si",D23="Si",E23="Si",F23="Si"),"Corrupción","No aplica para riesgo de corrupción")</f>
        <v>No aplica para riesgo de corrupción</v>
      </c>
      <c r="H23" s="162"/>
      <c r="I23" s="500"/>
      <c r="J23" s="497"/>
      <c r="K23" s="497"/>
      <c r="L23" s="497"/>
      <c r="M23" s="497"/>
      <c r="N23" s="497"/>
      <c r="O23" s="497"/>
      <c r="P23" s="497"/>
      <c r="Q23" s="497"/>
      <c r="R23" s="497"/>
      <c r="S23" s="497"/>
      <c r="T23" s="497"/>
      <c r="U23" s="497"/>
      <c r="V23" s="497"/>
      <c r="W23" s="497"/>
      <c r="X23" s="497"/>
      <c r="Y23" s="497"/>
      <c r="Z23" s="497"/>
      <c r="AA23" s="497"/>
      <c r="AB23" s="497"/>
      <c r="AC23" s="485">
        <f>+COUNTIF(J23:AB32,"SI")</f>
        <v>0</v>
      </c>
      <c r="AD23" s="488"/>
      <c r="AE23" s="488" t="str">
        <f>IFERROR(VLOOKUP(AD23,[3]Formulas!$B$5:$C$9,2,0),"")</f>
        <v/>
      </c>
      <c r="AF23" s="488" t="str">
        <f>IFERROR(VLOOKUP(AC23,[3]Formulas!$W$5:$X$23,2,),"")</f>
        <v/>
      </c>
      <c r="AG23" s="488" t="str">
        <f>+IFERROR(VLOOKUP(AF23,[3]Formulas!$E$5:$F$9,2,),"")</f>
        <v/>
      </c>
      <c r="AH23" s="520" t="str">
        <f>IFERROR(VLOOKUP(CONCATENATE(AE23,AG23),[3]Formulas!$J$5:$K$29,2,),"")</f>
        <v/>
      </c>
      <c r="AI23" s="520" t="str">
        <f>IFERROR(AG23*AE23,"")</f>
        <v/>
      </c>
      <c r="AJ23" s="514" t="s">
        <v>313</v>
      </c>
      <c r="AK23" s="163"/>
      <c r="AL23" s="195"/>
      <c r="AM23" s="196"/>
      <c r="AN23" s="196"/>
      <c r="AO23" s="196"/>
      <c r="AP23" s="196"/>
      <c r="AQ23" s="210"/>
      <c r="AR23" s="199"/>
      <c r="AS23" s="196"/>
      <c r="AT23" s="207" t="str">
        <f>IFERROR(VLOOKUP(AM23,[3]Formulas!$AN$5:$AO$20,2,),"")</f>
        <v/>
      </c>
      <c r="AU23" s="207" t="str">
        <f>IFERROR(VLOOKUP(AN23,[3]Formulas!$AN$5:$AO$20,2,),"")</f>
        <v/>
      </c>
      <c r="AV23" s="207" t="str">
        <f>IFERROR(VLOOKUP(AO23,[3]Formulas!$AN$5:$AO$20,2,),"")</f>
        <v/>
      </c>
      <c r="AW23" s="207" t="str">
        <f>IFERROR(VLOOKUP(AP23,[3]Formulas!$AN$5:$AO$20,2,),"")</f>
        <v/>
      </c>
      <c r="AX23" s="207" t="str">
        <f>IFERROR(VLOOKUP(AQ23,[3]Formulas!$AN$5:$AO$20,2,),"")</f>
        <v/>
      </c>
      <c r="AY23" s="207" t="str">
        <f>IFERROR(VLOOKUP(AR23,[3]Formulas!$AN$5:$AO$20,2,),"")</f>
        <v/>
      </c>
      <c r="AZ23" s="207" t="str">
        <f>IFERROR(VLOOKUP(AS23,[3]Formulas!$AN$5:$AO$20,2,),"")</f>
        <v/>
      </c>
      <c r="BA23" s="207">
        <f>+SUM(AT23:AZ23)</f>
        <v>0</v>
      </c>
      <c r="BB23" s="207" t="str">
        <f>+IF(BA23&gt;=96,"Fuerte",IF(AND(BA23&lt;96,BA23&gt;=86),"Moderado",IF(BA23&lt;=85,"Débil")))</f>
        <v>Débil</v>
      </c>
      <c r="BC23" s="208"/>
      <c r="BD23" s="207" t="str">
        <f>IFERROR(VLOOKUP(CONCATENATE(BB23,"+",BC23),[3]Formulas!$AB$5:$AC$13,2,),"")</f>
        <v/>
      </c>
      <c r="BE23" s="207" t="str">
        <f>IFERROR(VLOOKUP(BD23,[3]Formulas!$AC$5:$AD$13,2,),"")</f>
        <v/>
      </c>
      <c r="BF23" s="514" t="str">
        <f>+IFERROR(AVERAGE(BE23:BE32),"")</f>
        <v/>
      </c>
      <c r="BG23" s="514" t="str">
        <f>+IF(BF23="","",IF(BF23=100,"Fuerte",IF(AND(BF23&lt;100,BF23&gt;=50),"Moderado",IF(BF23&lt;50,"Débil"))))</f>
        <v/>
      </c>
      <c r="BH23" s="514" t="str">
        <f>+IF(BG23="","",IF(BG23="Fuerte",2,IF(BG23="Moderado",1,IF(BG23="Débil",0))))</f>
        <v/>
      </c>
      <c r="BI23" s="514" t="str">
        <f>IFERROR(IF((BJ23-BH23)&lt;=0,"RARA VEZ",VLOOKUP((BJ23-BH23),[3]Formulas!$AQ$5:$AR$9,2,0)),"")</f>
        <v/>
      </c>
      <c r="BJ23" s="514" t="str">
        <f>+AE23</f>
        <v/>
      </c>
      <c r="BK23" s="514" t="str">
        <f>IFERROR(VLOOKUP(BI23,[3]Formulas!$B$5:$C$9,2,),"")</f>
        <v/>
      </c>
      <c r="BL23" s="514" t="str">
        <f>+AF23</f>
        <v/>
      </c>
      <c r="BM23" s="517" t="str">
        <f>IFERROR(VLOOKUP(BL23,[3]Formulas!$E$5:$F$9,2,),"")</f>
        <v/>
      </c>
      <c r="BN23" s="508" t="str">
        <f>IFERROR(VLOOKUP(CONCATENATE(BK23:BK32,BM23),[3]Formulas!$J$5:$K$29,2,),"")</f>
        <v/>
      </c>
      <c r="BO23" s="511" t="str">
        <f t="shared" ref="BO23" si="3">IFERROR(BM23*BK23,"")</f>
        <v/>
      </c>
    </row>
    <row r="24" spans="1:67" ht="15" customHeight="1" x14ac:dyDescent="0.3">
      <c r="A24" s="495"/>
      <c r="B24" s="498"/>
      <c r="C24" s="492"/>
      <c r="D24" s="492"/>
      <c r="E24" s="492"/>
      <c r="F24" s="492"/>
      <c r="G24" s="489"/>
      <c r="H24" s="164"/>
      <c r="I24" s="501"/>
      <c r="J24" s="498"/>
      <c r="K24" s="498"/>
      <c r="L24" s="498"/>
      <c r="M24" s="498"/>
      <c r="N24" s="498"/>
      <c r="O24" s="498"/>
      <c r="P24" s="498"/>
      <c r="Q24" s="498"/>
      <c r="R24" s="498"/>
      <c r="S24" s="498"/>
      <c r="T24" s="498"/>
      <c r="U24" s="498"/>
      <c r="V24" s="498"/>
      <c r="W24" s="498"/>
      <c r="X24" s="498"/>
      <c r="Y24" s="498"/>
      <c r="Z24" s="498"/>
      <c r="AA24" s="498"/>
      <c r="AB24" s="498"/>
      <c r="AC24" s="486"/>
      <c r="AD24" s="489"/>
      <c r="AE24" s="489"/>
      <c r="AF24" s="489"/>
      <c r="AG24" s="489"/>
      <c r="AH24" s="521"/>
      <c r="AI24" s="521"/>
      <c r="AJ24" s="515"/>
      <c r="AK24" s="165"/>
      <c r="AL24" s="164"/>
      <c r="AM24" s="210"/>
      <c r="AN24" s="210"/>
      <c r="AO24" s="210"/>
      <c r="AP24" s="210"/>
      <c r="AQ24" s="210"/>
      <c r="AR24" s="198"/>
      <c r="AS24" s="210"/>
      <c r="AT24" s="208" t="str">
        <f>IFERROR(VLOOKUP(AM24,[3]Formulas!$AN$5:$AO$20,2,),"")</f>
        <v/>
      </c>
      <c r="AU24" s="208" t="str">
        <f>IFERROR(VLOOKUP(AN24,[3]Formulas!$AN$5:$AO$20,2,),"")</f>
        <v/>
      </c>
      <c r="AV24" s="208" t="str">
        <f>IFERROR(VLOOKUP(AO24,[3]Formulas!$AN$5:$AO$20,2,),"")</f>
        <v/>
      </c>
      <c r="AW24" s="208" t="str">
        <f>IFERROR(VLOOKUP(AP24,[3]Formulas!$AN$5:$AO$20,2,),"")</f>
        <v/>
      </c>
      <c r="AX24" s="208" t="str">
        <f>IFERROR(VLOOKUP(AQ24,[3]Formulas!$AN$5:$AO$20,2,),"")</f>
        <v/>
      </c>
      <c r="AY24" s="208" t="str">
        <f>IFERROR(VLOOKUP(AR24,[3]Formulas!$AN$5:$AO$20,2,),"")</f>
        <v/>
      </c>
      <c r="AZ24" s="208" t="str">
        <f>IFERROR(VLOOKUP(AS24,[3]Formulas!$AN$5:$AO$20,2,),"")</f>
        <v/>
      </c>
      <c r="BA24" s="208">
        <f t="shared" ref="BA24:BA32" si="4">+SUM(AT24:AZ24)</f>
        <v>0</v>
      </c>
      <c r="BB24" s="208" t="str">
        <f t="shared" ref="BB24:BB32" si="5">+IF(BA24&gt;=96,"Fuerte",IF(AND(BA24&lt;96,BA24&gt;=86),"Moderado",IF(BA24&lt;=85,"Débil")))</f>
        <v>Débil</v>
      </c>
      <c r="BC24" s="208"/>
      <c r="BD24" s="208" t="str">
        <f>IFERROR(VLOOKUP(CONCATENATE(BB24,"+",BC24),[3]Formulas!$AB$5:$AC$13,2,),"")</f>
        <v/>
      </c>
      <c r="BE24" s="208" t="str">
        <f>IFERROR(VLOOKUP(BD24,[3]Formulas!$AC$5:$AD$13,2,),"")</f>
        <v/>
      </c>
      <c r="BF24" s="515"/>
      <c r="BG24" s="515"/>
      <c r="BH24" s="515"/>
      <c r="BI24" s="515"/>
      <c r="BJ24" s="515"/>
      <c r="BK24" s="515"/>
      <c r="BL24" s="515"/>
      <c r="BM24" s="518"/>
      <c r="BN24" s="509"/>
      <c r="BO24" s="512"/>
    </row>
    <row r="25" spans="1:67" ht="15" customHeight="1" x14ac:dyDescent="0.3">
      <c r="A25" s="495"/>
      <c r="B25" s="498"/>
      <c r="C25" s="492"/>
      <c r="D25" s="492"/>
      <c r="E25" s="492"/>
      <c r="F25" s="492"/>
      <c r="G25" s="489"/>
      <c r="H25" s="164"/>
      <c r="I25" s="501"/>
      <c r="J25" s="498"/>
      <c r="K25" s="498"/>
      <c r="L25" s="498"/>
      <c r="M25" s="498"/>
      <c r="N25" s="498"/>
      <c r="O25" s="498"/>
      <c r="P25" s="498"/>
      <c r="Q25" s="498"/>
      <c r="R25" s="498"/>
      <c r="S25" s="498"/>
      <c r="T25" s="498"/>
      <c r="U25" s="498"/>
      <c r="V25" s="498"/>
      <c r="W25" s="498"/>
      <c r="X25" s="498"/>
      <c r="Y25" s="498"/>
      <c r="Z25" s="498"/>
      <c r="AA25" s="498"/>
      <c r="AB25" s="498"/>
      <c r="AC25" s="486"/>
      <c r="AD25" s="489"/>
      <c r="AE25" s="489"/>
      <c r="AF25" s="489"/>
      <c r="AG25" s="489"/>
      <c r="AH25" s="521"/>
      <c r="AI25" s="521"/>
      <c r="AJ25" s="515"/>
      <c r="AK25" s="165"/>
      <c r="AL25" s="164"/>
      <c r="AM25" s="210"/>
      <c r="AN25" s="210"/>
      <c r="AO25" s="210"/>
      <c r="AP25" s="210"/>
      <c r="AQ25" s="210"/>
      <c r="AR25" s="198"/>
      <c r="AS25" s="210"/>
      <c r="AT25" s="208" t="str">
        <f>IFERROR(VLOOKUP(AM25,[3]Formulas!$AN$5:$AO$20,2,),"")</f>
        <v/>
      </c>
      <c r="AU25" s="208" t="str">
        <f>IFERROR(VLOOKUP(AN25,[3]Formulas!$AN$5:$AO$20,2,),"")</f>
        <v/>
      </c>
      <c r="AV25" s="208" t="str">
        <f>IFERROR(VLOOKUP(AO25,[3]Formulas!$AN$5:$AO$20,2,),"")</f>
        <v/>
      </c>
      <c r="AW25" s="208" t="str">
        <f>IFERROR(VLOOKUP(AP25,[3]Formulas!$AN$5:$AO$20,2,),"")</f>
        <v/>
      </c>
      <c r="AX25" s="208" t="str">
        <f>IFERROR(VLOOKUP(AQ25,[3]Formulas!$AN$5:$AO$20,2,),"")</f>
        <v/>
      </c>
      <c r="AY25" s="208" t="str">
        <f>IFERROR(VLOOKUP(AR25,[3]Formulas!$AN$5:$AO$20,2,),"")</f>
        <v/>
      </c>
      <c r="AZ25" s="208" t="str">
        <f>IFERROR(VLOOKUP(AS25,[3]Formulas!$AN$5:$AO$20,2,),"")</f>
        <v/>
      </c>
      <c r="BA25" s="208">
        <f t="shared" si="4"/>
        <v>0</v>
      </c>
      <c r="BB25" s="208" t="str">
        <f t="shared" si="5"/>
        <v>Débil</v>
      </c>
      <c r="BC25" s="208"/>
      <c r="BD25" s="208" t="str">
        <f>IFERROR(VLOOKUP(CONCATENATE(BB25,"+",BC25),[3]Formulas!$AB$5:$AC$13,2,),"")</f>
        <v/>
      </c>
      <c r="BE25" s="208" t="str">
        <f>IFERROR(VLOOKUP(BD25,[3]Formulas!$AC$5:$AD$13,2,),"")</f>
        <v/>
      </c>
      <c r="BF25" s="515"/>
      <c r="BG25" s="515"/>
      <c r="BH25" s="515"/>
      <c r="BI25" s="515"/>
      <c r="BJ25" s="515"/>
      <c r="BK25" s="515"/>
      <c r="BL25" s="515"/>
      <c r="BM25" s="518"/>
      <c r="BN25" s="509"/>
      <c r="BO25" s="512"/>
    </row>
    <row r="26" spans="1:67" ht="15" customHeight="1" x14ac:dyDescent="0.3">
      <c r="A26" s="495"/>
      <c r="B26" s="498"/>
      <c r="C26" s="492"/>
      <c r="D26" s="492"/>
      <c r="E26" s="492"/>
      <c r="F26" s="492"/>
      <c r="G26" s="489"/>
      <c r="H26" s="164"/>
      <c r="I26" s="501"/>
      <c r="J26" s="498"/>
      <c r="K26" s="498"/>
      <c r="L26" s="498"/>
      <c r="M26" s="498"/>
      <c r="N26" s="498"/>
      <c r="O26" s="498"/>
      <c r="P26" s="498"/>
      <c r="Q26" s="498"/>
      <c r="R26" s="498"/>
      <c r="S26" s="498"/>
      <c r="T26" s="498"/>
      <c r="U26" s="498"/>
      <c r="V26" s="498"/>
      <c r="W26" s="498"/>
      <c r="X26" s="498"/>
      <c r="Y26" s="498"/>
      <c r="Z26" s="498"/>
      <c r="AA26" s="498"/>
      <c r="AB26" s="498"/>
      <c r="AC26" s="486"/>
      <c r="AD26" s="489"/>
      <c r="AE26" s="489"/>
      <c r="AF26" s="489"/>
      <c r="AG26" s="489"/>
      <c r="AH26" s="521"/>
      <c r="AI26" s="521"/>
      <c r="AJ26" s="515"/>
      <c r="AK26" s="165"/>
      <c r="AL26" s="164"/>
      <c r="AM26" s="210"/>
      <c r="AN26" s="210"/>
      <c r="AO26" s="210"/>
      <c r="AP26" s="210"/>
      <c r="AQ26" s="210"/>
      <c r="AR26" s="198"/>
      <c r="AS26" s="210"/>
      <c r="AT26" s="208" t="str">
        <f>IFERROR(VLOOKUP(AM26,[3]Formulas!$AN$5:$AO$20,2,),"")</f>
        <v/>
      </c>
      <c r="AU26" s="208" t="str">
        <f>IFERROR(VLOOKUP(AN26,[3]Formulas!$AN$5:$AO$20,2,),"")</f>
        <v/>
      </c>
      <c r="AV26" s="208" t="str">
        <f>IFERROR(VLOOKUP(AO26,[3]Formulas!$AN$5:$AO$20,2,),"")</f>
        <v/>
      </c>
      <c r="AW26" s="208" t="str">
        <f>IFERROR(VLOOKUP(AP26,[3]Formulas!$AN$5:$AO$20,2,),"")</f>
        <v/>
      </c>
      <c r="AX26" s="208" t="str">
        <f>IFERROR(VLOOKUP(AQ26,[3]Formulas!$AN$5:$AO$20,2,),"")</f>
        <v/>
      </c>
      <c r="AY26" s="208" t="str">
        <f>IFERROR(VLOOKUP(AR26,[3]Formulas!$AN$5:$AO$20,2,),"")</f>
        <v/>
      </c>
      <c r="AZ26" s="208" t="str">
        <f>IFERROR(VLOOKUP(AS26,[3]Formulas!$AN$5:$AO$20,2,),"")</f>
        <v/>
      </c>
      <c r="BA26" s="208">
        <f t="shared" si="4"/>
        <v>0</v>
      </c>
      <c r="BB26" s="208" t="str">
        <f t="shared" si="5"/>
        <v>Débil</v>
      </c>
      <c r="BC26" s="208"/>
      <c r="BD26" s="208" t="str">
        <f>IFERROR(VLOOKUP(CONCATENATE(BB26,"+",BC26),[3]Formulas!$AB$5:$AC$13,2,),"")</f>
        <v/>
      </c>
      <c r="BE26" s="208" t="str">
        <f>IFERROR(VLOOKUP(BD26,[3]Formulas!$AC$5:$AD$13,2,),"")</f>
        <v/>
      </c>
      <c r="BF26" s="515"/>
      <c r="BG26" s="515"/>
      <c r="BH26" s="515"/>
      <c r="BI26" s="515"/>
      <c r="BJ26" s="515"/>
      <c r="BK26" s="515"/>
      <c r="BL26" s="515"/>
      <c r="BM26" s="518"/>
      <c r="BN26" s="509"/>
      <c r="BO26" s="512"/>
    </row>
    <row r="27" spans="1:67" ht="15" customHeight="1" x14ac:dyDescent="0.3">
      <c r="A27" s="495"/>
      <c r="B27" s="498"/>
      <c r="C27" s="492"/>
      <c r="D27" s="492"/>
      <c r="E27" s="492"/>
      <c r="F27" s="492"/>
      <c r="G27" s="489"/>
      <c r="H27" s="164"/>
      <c r="I27" s="501"/>
      <c r="J27" s="498"/>
      <c r="K27" s="498"/>
      <c r="L27" s="498"/>
      <c r="M27" s="498"/>
      <c r="N27" s="498"/>
      <c r="O27" s="498"/>
      <c r="P27" s="498"/>
      <c r="Q27" s="498"/>
      <c r="R27" s="498"/>
      <c r="S27" s="498"/>
      <c r="T27" s="498"/>
      <c r="U27" s="498"/>
      <c r="V27" s="498"/>
      <c r="W27" s="498"/>
      <c r="X27" s="498"/>
      <c r="Y27" s="498"/>
      <c r="Z27" s="498"/>
      <c r="AA27" s="498"/>
      <c r="AB27" s="498"/>
      <c r="AC27" s="486"/>
      <c r="AD27" s="489"/>
      <c r="AE27" s="489"/>
      <c r="AF27" s="489"/>
      <c r="AG27" s="489"/>
      <c r="AH27" s="521"/>
      <c r="AI27" s="521"/>
      <c r="AJ27" s="515"/>
      <c r="AK27" s="165"/>
      <c r="AL27" s="164"/>
      <c r="AM27" s="210"/>
      <c r="AN27" s="210"/>
      <c r="AO27" s="210"/>
      <c r="AP27" s="210"/>
      <c r="AQ27" s="210"/>
      <c r="AR27" s="198"/>
      <c r="AS27" s="210"/>
      <c r="AT27" s="208" t="str">
        <f>IFERROR(VLOOKUP(AM27,[3]Formulas!$AN$5:$AO$20,2,),"")</f>
        <v/>
      </c>
      <c r="AU27" s="208" t="str">
        <f>IFERROR(VLOOKUP(AN27,[3]Formulas!$AN$5:$AO$20,2,),"")</f>
        <v/>
      </c>
      <c r="AV27" s="208" t="str">
        <f>IFERROR(VLOOKUP(AO27,[3]Formulas!$AN$5:$AO$20,2,),"")</f>
        <v/>
      </c>
      <c r="AW27" s="208" t="str">
        <f>IFERROR(VLOOKUP(AP27,[3]Formulas!$AN$5:$AO$20,2,),"")</f>
        <v/>
      </c>
      <c r="AX27" s="208" t="str">
        <f>IFERROR(VLOOKUP(AQ27,[3]Formulas!$AN$5:$AO$20,2,),"")</f>
        <v/>
      </c>
      <c r="AY27" s="208" t="str">
        <f>IFERROR(VLOOKUP(AR27,[3]Formulas!$AN$5:$AO$20,2,),"")</f>
        <v/>
      </c>
      <c r="AZ27" s="208" t="str">
        <f>IFERROR(VLOOKUP(AS27,[3]Formulas!$AN$5:$AO$20,2,),"")</f>
        <v/>
      </c>
      <c r="BA27" s="208">
        <f t="shared" si="4"/>
        <v>0</v>
      </c>
      <c r="BB27" s="208" t="str">
        <f t="shared" si="5"/>
        <v>Débil</v>
      </c>
      <c r="BC27" s="208"/>
      <c r="BD27" s="208" t="str">
        <f>IFERROR(VLOOKUP(CONCATENATE(BB27,"+",BC27),[3]Formulas!$AB$5:$AC$13,2,),"")</f>
        <v/>
      </c>
      <c r="BE27" s="208" t="str">
        <f>IFERROR(VLOOKUP(BD27,[3]Formulas!$AC$5:$AD$13,2,),"")</f>
        <v/>
      </c>
      <c r="BF27" s="515"/>
      <c r="BG27" s="515"/>
      <c r="BH27" s="515"/>
      <c r="BI27" s="515"/>
      <c r="BJ27" s="515"/>
      <c r="BK27" s="515"/>
      <c r="BL27" s="515"/>
      <c r="BM27" s="518"/>
      <c r="BN27" s="509"/>
      <c r="BO27" s="512"/>
    </row>
    <row r="28" spans="1:67" ht="15" customHeight="1" x14ac:dyDescent="0.3">
      <c r="A28" s="495"/>
      <c r="B28" s="498"/>
      <c r="C28" s="492"/>
      <c r="D28" s="492"/>
      <c r="E28" s="492"/>
      <c r="F28" s="492"/>
      <c r="G28" s="489"/>
      <c r="H28" s="164"/>
      <c r="I28" s="501"/>
      <c r="J28" s="498"/>
      <c r="K28" s="498"/>
      <c r="L28" s="498"/>
      <c r="M28" s="498"/>
      <c r="N28" s="498"/>
      <c r="O28" s="498"/>
      <c r="P28" s="498"/>
      <c r="Q28" s="498"/>
      <c r="R28" s="498"/>
      <c r="S28" s="498"/>
      <c r="T28" s="498"/>
      <c r="U28" s="498"/>
      <c r="V28" s="498"/>
      <c r="W28" s="498"/>
      <c r="X28" s="498"/>
      <c r="Y28" s="498"/>
      <c r="Z28" s="498"/>
      <c r="AA28" s="498"/>
      <c r="AB28" s="498"/>
      <c r="AC28" s="486"/>
      <c r="AD28" s="489"/>
      <c r="AE28" s="489"/>
      <c r="AF28" s="489"/>
      <c r="AG28" s="489"/>
      <c r="AH28" s="521"/>
      <c r="AI28" s="521"/>
      <c r="AJ28" s="515"/>
      <c r="AK28" s="165"/>
      <c r="AL28" s="164"/>
      <c r="AM28" s="210"/>
      <c r="AN28" s="210"/>
      <c r="AO28" s="210"/>
      <c r="AP28" s="210"/>
      <c r="AQ28" s="210"/>
      <c r="AR28" s="198"/>
      <c r="AS28" s="210"/>
      <c r="AT28" s="208" t="str">
        <f>IFERROR(VLOOKUP(AM28,[3]Formulas!$AN$5:$AO$20,2,),"")</f>
        <v/>
      </c>
      <c r="AU28" s="208" t="str">
        <f>IFERROR(VLOOKUP(AN28,[3]Formulas!$AN$5:$AO$20,2,),"")</f>
        <v/>
      </c>
      <c r="AV28" s="208" t="str">
        <f>IFERROR(VLOOKUP(AO28,[3]Formulas!$AN$5:$AO$20,2,),"")</f>
        <v/>
      </c>
      <c r="AW28" s="208" t="str">
        <f>IFERROR(VLOOKUP(AP28,[3]Formulas!$AN$5:$AO$20,2,),"")</f>
        <v/>
      </c>
      <c r="AX28" s="208" t="str">
        <f>IFERROR(VLOOKUP(AQ28,[3]Formulas!$AN$5:$AO$20,2,),"")</f>
        <v/>
      </c>
      <c r="AY28" s="208" t="str">
        <f>IFERROR(VLOOKUP(AR28,[3]Formulas!$AN$5:$AO$20,2,),"")</f>
        <v/>
      </c>
      <c r="AZ28" s="208" t="str">
        <f>IFERROR(VLOOKUP(AS28,[3]Formulas!$AN$5:$AO$20,2,),"")</f>
        <v/>
      </c>
      <c r="BA28" s="208">
        <f t="shared" si="4"/>
        <v>0</v>
      </c>
      <c r="BB28" s="208" t="str">
        <f t="shared" si="5"/>
        <v>Débil</v>
      </c>
      <c r="BC28" s="208"/>
      <c r="BD28" s="208" t="str">
        <f>IFERROR(VLOOKUP(CONCATENATE(BB28,"+",BC28),[3]Formulas!$AB$5:$AC$13,2,),"")</f>
        <v/>
      </c>
      <c r="BE28" s="208" t="str">
        <f>IFERROR(VLOOKUP(BD28,[3]Formulas!$AC$5:$AD$13,2,),"")</f>
        <v/>
      </c>
      <c r="BF28" s="515"/>
      <c r="BG28" s="515"/>
      <c r="BH28" s="515"/>
      <c r="BI28" s="515"/>
      <c r="BJ28" s="515"/>
      <c r="BK28" s="515"/>
      <c r="BL28" s="515"/>
      <c r="BM28" s="518"/>
      <c r="BN28" s="509"/>
      <c r="BO28" s="512"/>
    </row>
    <row r="29" spans="1:67" ht="15" customHeight="1" x14ac:dyDescent="0.3">
      <c r="A29" s="495"/>
      <c r="B29" s="498"/>
      <c r="C29" s="492"/>
      <c r="D29" s="492"/>
      <c r="E29" s="492"/>
      <c r="F29" s="492"/>
      <c r="G29" s="489"/>
      <c r="H29" s="164"/>
      <c r="I29" s="501"/>
      <c r="J29" s="498"/>
      <c r="K29" s="498"/>
      <c r="L29" s="498"/>
      <c r="M29" s="498"/>
      <c r="N29" s="498"/>
      <c r="O29" s="498"/>
      <c r="P29" s="498"/>
      <c r="Q29" s="498"/>
      <c r="R29" s="498"/>
      <c r="S29" s="498"/>
      <c r="T29" s="498"/>
      <c r="U29" s="498"/>
      <c r="V29" s="498"/>
      <c r="W29" s="498"/>
      <c r="X29" s="498"/>
      <c r="Y29" s="498"/>
      <c r="Z29" s="498"/>
      <c r="AA29" s="498"/>
      <c r="AB29" s="498"/>
      <c r="AC29" s="486"/>
      <c r="AD29" s="489"/>
      <c r="AE29" s="489"/>
      <c r="AF29" s="489"/>
      <c r="AG29" s="489"/>
      <c r="AH29" s="521"/>
      <c r="AI29" s="521"/>
      <c r="AJ29" s="515"/>
      <c r="AK29" s="165"/>
      <c r="AL29" s="164"/>
      <c r="AM29" s="210"/>
      <c r="AN29" s="210"/>
      <c r="AO29" s="210"/>
      <c r="AP29" s="210"/>
      <c r="AQ29" s="210"/>
      <c r="AR29" s="198"/>
      <c r="AS29" s="210"/>
      <c r="AT29" s="208" t="str">
        <f>IFERROR(VLOOKUP(AM29,[3]Formulas!$AN$5:$AO$20,2,),"")</f>
        <v/>
      </c>
      <c r="AU29" s="208" t="str">
        <f>IFERROR(VLOOKUP(AN29,[3]Formulas!$AN$5:$AO$20,2,),"")</f>
        <v/>
      </c>
      <c r="AV29" s="208" t="str">
        <f>IFERROR(VLOOKUP(AO29,[3]Formulas!$AN$5:$AO$20,2,),"")</f>
        <v/>
      </c>
      <c r="AW29" s="208" t="str">
        <f>IFERROR(VLOOKUP(AP29,[3]Formulas!$AN$5:$AO$20,2,),"")</f>
        <v/>
      </c>
      <c r="AX29" s="208" t="str">
        <f>IFERROR(VLOOKUP(AQ29,[3]Formulas!$AN$5:$AO$20,2,),"")</f>
        <v/>
      </c>
      <c r="AY29" s="208" t="str">
        <f>IFERROR(VLOOKUP(AR29,[3]Formulas!$AN$5:$AO$20,2,),"")</f>
        <v/>
      </c>
      <c r="AZ29" s="208" t="str">
        <f>IFERROR(VLOOKUP(AS29,[3]Formulas!$AN$5:$AO$20,2,),"")</f>
        <v/>
      </c>
      <c r="BA29" s="208">
        <f t="shared" si="4"/>
        <v>0</v>
      </c>
      <c r="BB29" s="208" t="str">
        <f t="shared" si="5"/>
        <v>Débil</v>
      </c>
      <c r="BC29" s="208"/>
      <c r="BD29" s="208" t="str">
        <f>IFERROR(VLOOKUP(CONCATENATE(BB29,"+",BC29),[3]Formulas!$AB$5:$AC$13,2,),"")</f>
        <v/>
      </c>
      <c r="BE29" s="208" t="str">
        <f>IFERROR(VLOOKUP(BD29,[3]Formulas!$AC$5:$AD$13,2,),"")</f>
        <v/>
      </c>
      <c r="BF29" s="515"/>
      <c r="BG29" s="515"/>
      <c r="BH29" s="515"/>
      <c r="BI29" s="515"/>
      <c r="BJ29" s="515"/>
      <c r="BK29" s="515"/>
      <c r="BL29" s="515"/>
      <c r="BM29" s="518"/>
      <c r="BN29" s="509"/>
      <c r="BO29" s="512"/>
    </row>
    <row r="30" spans="1:67" ht="15" customHeight="1" x14ac:dyDescent="0.3">
      <c r="A30" s="495"/>
      <c r="B30" s="498"/>
      <c r="C30" s="492"/>
      <c r="D30" s="492"/>
      <c r="E30" s="492"/>
      <c r="F30" s="492"/>
      <c r="G30" s="489"/>
      <c r="H30" s="164"/>
      <c r="I30" s="501"/>
      <c r="J30" s="498"/>
      <c r="K30" s="498"/>
      <c r="L30" s="498"/>
      <c r="M30" s="498"/>
      <c r="N30" s="498"/>
      <c r="O30" s="498"/>
      <c r="P30" s="498"/>
      <c r="Q30" s="498"/>
      <c r="R30" s="498"/>
      <c r="S30" s="498"/>
      <c r="T30" s="498"/>
      <c r="U30" s="498"/>
      <c r="V30" s="498"/>
      <c r="W30" s="498"/>
      <c r="X30" s="498"/>
      <c r="Y30" s="498"/>
      <c r="Z30" s="498"/>
      <c r="AA30" s="498"/>
      <c r="AB30" s="498"/>
      <c r="AC30" s="486"/>
      <c r="AD30" s="489"/>
      <c r="AE30" s="489"/>
      <c r="AF30" s="489"/>
      <c r="AG30" s="489"/>
      <c r="AH30" s="521"/>
      <c r="AI30" s="521"/>
      <c r="AJ30" s="515"/>
      <c r="AK30" s="165"/>
      <c r="AL30" s="164"/>
      <c r="AM30" s="210"/>
      <c r="AN30" s="210"/>
      <c r="AO30" s="210"/>
      <c r="AP30" s="210"/>
      <c r="AQ30" s="210"/>
      <c r="AR30" s="198"/>
      <c r="AS30" s="210"/>
      <c r="AT30" s="208" t="str">
        <f>IFERROR(VLOOKUP(AM30,[3]Formulas!$AN$5:$AO$20,2,),"")</f>
        <v/>
      </c>
      <c r="AU30" s="208" t="str">
        <f>IFERROR(VLOOKUP(AN30,[3]Formulas!$AN$5:$AO$20,2,),"")</f>
        <v/>
      </c>
      <c r="AV30" s="208" t="str">
        <f>IFERROR(VLOOKUP(AO30,[3]Formulas!$AN$5:$AO$20,2,),"")</f>
        <v/>
      </c>
      <c r="AW30" s="208" t="str">
        <f>IFERROR(VLOOKUP(AP30,[3]Formulas!$AN$5:$AO$20,2,),"")</f>
        <v/>
      </c>
      <c r="AX30" s="208" t="str">
        <f>IFERROR(VLOOKUP(AQ30,[3]Formulas!$AN$5:$AO$20,2,),"")</f>
        <v/>
      </c>
      <c r="AY30" s="208" t="str">
        <f>IFERROR(VLOOKUP(AR30,[3]Formulas!$AN$5:$AO$20,2,),"")</f>
        <v/>
      </c>
      <c r="AZ30" s="208" t="str">
        <f>IFERROR(VLOOKUP(AS30,[3]Formulas!$AN$5:$AO$20,2,),"")</f>
        <v/>
      </c>
      <c r="BA30" s="208">
        <f t="shared" si="4"/>
        <v>0</v>
      </c>
      <c r="BB30" s="208" t="str">
        <f t="shared" si="5"/>
        <v>Débil</v>
      </c>
      <c r="BC30" s="208"/>
      <c r="BD30" s="208" t="str">
        <f>IFERROR(VLOOKUP(CONCATENATE(BB30,"+",BC30),[3]Formulas!$AB$5:$AC$13,2,),"")</f>
        <v/>
      </c>
      <c r="BE30" s="208" t="str">
        <f>IFERROR(VLOOKUP(BD30,[3]Formulas!$AC$5:$AD$13,2,),"")</f>
        <v/>
      </c>
      <c r="BF30" s="515"/>
      <c r="BG30" s="515"/>
      <c r="BH30" s="515"/>
      <c r="BI30" s="515"/>
      <c r="BJ30" s="515"/>
      <c r="BK30" s="515"/>
      <c r="BL30" s="515"/>
      <c r="BM30" s="518"/>
      <c r="BN30" s="509"/>
      <c r="BO30" s="512"/>
    </row>
    <row r="31" spans="1:67" ht="15" customHeight="1" x14ac:dyDescent="0.3">
      <c r="A31" s="495"/>
      <c r="B31" s="498"/>
      <c r="C31" s="492"/>
      <c r="D31" s="492"/>
      <c r="E31" s="492"/>
      <c r="F31" s="492"/>
      <c r="G31" s="489"/>
      <c r="H31" s="164"/>
      <c r="I31" s="501"/>
      <c r="J31" s="498"/>
      <c r="K31" s="498"/>
      <c r="L31" s="498"/>
      <c r="M31" s="498"/>
      <c r="N31" s="498"/>
      <c r="O31" s="498"/>
      <c r="P31" s="498"/>
      <c r="Q31" s="498"/>
      <c r="R31" s="498"/>
      <c r="S31" s="498"/>
      <c r="T31" s="498"/>
      <c r="U31" s="498"/>
      <c r="V31" s="498"/>
      <c r="W31" s="498"/>
      <c r="X31" s="498"/>
      <c r="Y31" s="498"/>
      <c r="Z31" s="498"/>
      <c r="AA31" s="498"/>
      <c r="AB31" s="498"/>
      <c r="AC31" s="486"/>
      <c r="AD31" s="489"/>
      <c r="AE31" s="489"/>
      <c r="AF31" s="489"/>
      <c r="AG31" s="489"/>
      <c r="AH31" s="521"/>
      <c r="AI31" s="521"/>
      <c r="AJ31" s="515"/>
      <c r="AK31" s="165"/>
      <c r="AL31" s="164"/>
      <c r="AM31" s="210"/>
      <c r="AN31" s="210"/>
      <c r="AO31" s="210"/>
      <c r="AP31" s="210"/>
      <c r="AQ31" s="210"/>
      <c r="AR31" s="198"/>
      <c r="AS31" s="210"/>
      <c r="AT31" s="208" t="str">
        <f>IFERROR(VLOOKUP(AM31,[3]Formulas!$AN$5:$AO$20,2,),"")</f>
        <v/>
      </c>
      <c r="AU31" s="208" t="str">
        <f>IFERROR(VLOOKUP(AN31,[3]Formulas!$AN$5:$AO$20,2,),"")</f>
        <v/>
      </c>
      <c r="AV31" s="208" t="str">
        <f>IFERROR(VLOOKUP(AO31,[3]Formulas!$AN$5:$AO$20,2,),"")</f>
        <v/>
      </c>
      <c r="AW31" s="208" t="str">
        <f>IFERROR(VLOOKUP(AP31,[3]Formulas!$AN$5:$AO$20,2,),"")</f>
        <v/>
      </c>
      <c r="AX31" s="208" t="str">
        <f>IFERROR(VLOOKUP(AQ31,[3]Formulas!$AN$5:$AO$20,2,),"")</f>
        <v/>
      </c>
      <c r="AY31" s="208" t="str">
        <f>IFERROR(VLOOKUP(AR31,[3]Formulas!$AN$5:$AO$20,2,),"")</f>
        <v/>
      </c>
      <c r="AZ31" s="208" t="str">
        <f>IFERROR(VLOOKUP(AS31,[3]Formulas!$AN$5:$AO$20,2,),"")</f>
        <v/>
      </c>
      <c r="BA31" s="208">
        <f t="shared" si="4"/>
        <v>0</v>
      </c>
      <c r="BB31" s="208" t="str">
        <f t="shared" si="5"/>
        <v>Débil</v>
      </c>
      <c r="BC31" s="208"/>
      <c r="BD31" s="208" t="str">
        <f>IFERROR(VLOOKUP(CONCATENATE(BB31,"+",BC31),[3]Formulas!$AB$5:$AC$13,2,),"")</f>
        <v/>
      </c>
      <c r="BE31" s="208" t="str">
        <f>IFERROR(VLOOKUP(BD31,[3]Formulas!$AC$5:$AD$13,2,),"")</f>
        <v/>
      </c>
      <c r="BF31" s="515"/>
      <c r="BG31" s="515"/>
      <c r="BH31" s="515"/>
      <c r="BI31" s="515"/>
      <c r="BJ31" s="515"/>
      <c r="BK31" s="515"/>
      <c r="BL31" s="515"/>
      <c r="BM31" s="518"/>
      <c r="BN31" s="509"/>
      <c r="BO31" s="512"/>
    </row>
    <row r="32" spans="1:67" ht="15.75" customHeight="1" thickBot="1" x14ac:dyDescent="0.35">
      <c r="A32" s="496"/>
      <c r="B32" s="499"/>
      <c r="C32" s="493"/>
      <c r="D32" s="493"/>
      <c r="E32" s="493"/>
      <c r="F32" s="493"/>
      <c r="G32" s="490"/>
      <c r="H32" s="166"/>
      <c r="I32" s="502"/>
      <c r="J32" s="499"/>
      <c r="K32" s="499"/>
      <c r="L32" s="499"/>
      <c r="M32" s="499"/>
      <c r="N32" s="499"/>
      <c r="O32" s="499"/>
      <c r="P32" s="499"/>
      <c r="Q32" s="499"/>
      <c r="R32" s="499"/>
      <c r="S32" s="499"/>
      <c r="T32" s="499"/>
      <c r="U32" s="499"/>
      <c r="V32" s="499"/>
      <c r="W32" s="499"/>
      <c r="X32" s="499"/>
      <c r="Y32" s="499"/>
      <c r="Z32" s="499"/>
      <c r="AA32" s="499"/>
      <c r="AB32" s="499"/>
      <c r="AC32" s="487"/>
      <c r="AD32" s="490"/>
      <c r="AE32" s="490"/>
      <c r="AF32" s="490"/>
      <c r="AG32" s="490"/>
      <c r="AH32" s="522"/>
      <c r="AI32" s="522"/>
      <c r="AJ32" s="516"/>
      <c r="AK32" s="167"/>
      <c r="AL32" s="164"/>
      <c r="AM32" s="210"/>
      <c r="AN32" s="210"/>
      <c r="AO32" s="210"/>
      <c r="AP32" s="210"/>
      <c r="AQ32" s="210"/>
      <c r="AR32" s="198"/>
      <c r="AS32" s="210"/>
      <c r="AT32" s="209" t="str">
        <f>IFERROR(VLOOKUP(AM32,[3]Formulas!$AN$5:$AO$20,2,),"")</f>
        <v/>
      </c>
      <c r="AU32" s="209" t="str">
        <f>IFERROR(VLOOKUP(AN32,[3]Formulas!$AN$5:$AO$20,2,),"")</f>
        <v/>
      </c>
      <c r="AV32" s="209" t="str">
        <f>IFERROR(VLOOKUP(AO32,[3]Formulas!$AN$5:$AO$20,2,),"")</f>
        <v/>
      </c>
      <c r="AW32" s="209" t="str">
        <f>IFERROR(VLOOKUP(AP32,[3]Formulas!$AN$5:$AO$20,2,),"")</f>
        <v/>
      </c>
      <c r="AX32" s="209" t="str">
        <f>IFERROR(VLOOKUP(AQ32,[3]Formulas!$AN$5:$AO$20,2,),"")</f>
        <v/>
      </c>
      <c r="AY32" s="209" t="str">
        <f>IFERROR(VLOOKUP(AR32,[3]Formulas!$AN$5:$AO$20,2,),"")</f>
        <v/>
      </c>
      <c r="AZ32" s="209" t="str">
        <f>IFERROR(VLOOKUP(AS32,[3]Formulas!$AN$5:$AO$20,2,),"")</f>
        <v/>
      </c>
      <c r="BA32" s="209">
        <f t="shared" si="4"/>
        <v>0</v>
      </c>
      <c r="BB32" s="209" t="str">
        <f t="shared" si="5"/>
        <v>Débil</v>
      </c>
      <c r="BC32" s="208"/>
      <c r="BD32" s="209" t="str">
        <f>IFERROR(VLOOKUP(CONCATENATE(BB32,"+",BC32),[3]Formulas!$AB$5:$AC$13,2,),"")</f>
        <v/>
      </c>
      <c r="BE32" s="209" t="str">
        <f>IFERROR(VLOOKUP(BD32,[3]Formulas!$AC$5:$AD$13,2,),"")</f>
        <v/>
      </c>
      <c r="BF32" s="516"/>
      <c r="BG32" s="516"/>
      <c r="BH32" s="516"/>
      <c r="BI32" s="516"/>
      <c r="BJ32" s="516"/>
      <c r="BK32" s="516"/>
      <c r="BL32" s="516"/>
      <c r="BM32" s="519"/>
      <c r="BN32" s="510"/>
      <c r="BO32" s="513"/>
    </row>
    <row r="33" spans="1:67" ht="15.6" x14ac:dyDescent="0.3">
      <c r="A33" s="168"/>
      <c r="B33" s="168"/>
      <c r="C33" s="168"/>
      <c r="D33" s="168"/>
      <c r="E33" s="168"/>
      <c r="F33" s="168"/>
      <c r="G33" s="168"/>
      <c r="H33" s="168"/>
      <c r="I33" s="168"/>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70"/>
      <c r="BN33" s="170"/>
      <c r="BO33" s="160"/>
    </row>
  </sheetData>
  <protectedRanges>
    <protectedRange sqref="A3:B3 AQ2:AQ3 C2:H3 BN2:BN3 J2:AO3" name="Rango2_2"/>
    <protectedRange sqref="A2:B2" name="Rango2_1_2"/>
  </protectedRanges>
  <mergeCells count="126">
    <mergeCell ref="E23:E32"/>
    <mergeCell ref="B12:B21"/>
    <mergeCell ref="B23:B32"/>
    <mergeCell ref="BJ23:BJ32"/>
    <mergeCell ref="BK23:BK32"/>
    <mergeCell ref="BL23:BL32"/>
    <mergeCell ref="BM23:BM32"/>
    <mergeCell ref="W23:W32"/>
    <mergeCell ref="X23:X32"/>
    <mergeCell ref="Y23:Y32"/>
    <mergeCell ref="Z23:Z32"/>
    <mergeCell ref="AA23:AA32"/>
    <mergeCell ref="AB23:AB32"/>
    <mergeCell ref="Q23:Q32"/>
    <mergeCell ref="R23:R32"/>
    <mergeCell ref="S23:S32"/>
    <mergeCell ref="T23:T32"/>
    <mergeCell ref="U23:U32"/>
    <mergeCell ref="V23:V32"/>
    <mergeCell ref="K23:K32"/>
    <mergeCell ref="L23:L32"/>
    <mergeCell ref="M23:M32"/>
    <mergeCell ref="N23:N32"/>
    <mergeCell ref="O23:O32"/>
    <mergeCell ref="BN23:BN32"/>
    <mergeCell ref="BO23:BO32"/>
    <mergeCell ref="AI23:AI32"/>
    <mergeCell ref="AJ23:AJ32"/>
    <mergeCell ref="BF23:BF32"/>
    <mergeCell ref="BG23:BG32"/>
    <mergeCell ref="BH23:BH32"/>
    <mergeCell ref="BI23:BI32"/>
    <mergeCell ref="AC23:AC32"/>
    <mergeCell ref="AD23:AD32"/>
    <mergeCell ref="AE23:AE32"/>
    <mergeCell ref="AF23:AF32"/>
    <mergeCell ref="AG23:AG32"/>
    <mergeCell ref="AH23:AH32"/>
    <mergeCell ref="P23:P32"/>
    <mergeCell ref="BN12:BN21"/>
    <mergeCell ref="BO12:BO21"/>
    <mergeCell ref="A23:A32"/>
    <mergeCell ref="C23:C32"/>
    <mergeCell ref="D23:D32"/>
    <mergeCell ref="F23:F32"/>
    <mergeCell ref="G23:G32"/>
    <mergeCell ref="I23:I32"/>
    <mergeCell ref="J23:J32"/>
    <mergeCell ref="BH12:BH21"/>
    <mergeCell ref="BI12:BI21"/>
    <mergeCell ref="BJ12:BJ21"/>
    <mergeCell ref="BK12:BK21"/>
    <mergeCell ref="BL12:BL21"/>
    <mergeCell ref="BM12:BM21"/>
    <mergeCell ref="AG12:AG21"/>
    <mergeCell ref="AH12:AH21"/>
    <mergeCell ref="AI12:AI21"/>
    <mergeCell ref="AJ12:AJ21"/>
    <mergeCell ref="BF12:BF21"/>
    <mergeCell ref="BG12:BG21"/>
    <mergeCell ref="L12:L21"/>
    <mergeCell ref="AF12:AF21"/>
    <mergeCell ref="AB9:AB10"/>
    <mergeCell ref="B7:I7"/>
    <mergeCell ref="M12:M21"/>
    <mergeCell ref="N12:N21"/>
    <mergeCell ref="J12:J21"/>
    <mergeCell ref="K12:K21"/>
    <mergeCell ref="AA12:AA21"/>
    <mergeCell ref="AB12:AB21"/>
    <mergeCell ref="W9:W10"/>
    <mergeCell ref="X9:X10"/>
    <mergeCell ref="Y9:Y10"/>
    <mergeCell ref="Z9:Z10"/>
    <mergeCell ref="Q9:Q10"/>
    <mergeCell ref="R9:R10"/>
    <mergeCell ref="S9:S10"/>
    <mergeCell ref="T9:T10"/>
    <mergeCell ref="U9:U10"/>
    <mergeCell ref="V9:V10"/>
    <mergeCell ref="AC12:AC21"/>
    <mergeCell ref="AD12:AD21"/>
    <mergeCell ref="AE12:AE21"/>
    <mergeCell ref="E12:E21"/>
    <mergeCell ref="A12:A21"/>
    <mergeCell ref="C12:C21"/>
    <mergeCell ref="D12:D21"/>
    <mergeCell ref="F12:F21"/>
    <mergeCell ref="G12:G21"/>
    <mergeCell ref="O12:O21"/>
    <mergeCell ref="P12:P21"/>
    <mergeCell ref="Q12:Q21"/>
    <mergeCell ref="R12:R21"/>
    <mergeCell ref="S12:S21"/>
    <mergeCell ref="T12:T21"/>
    <mergeCell ref="I12:I21"/>
    <mergeCell ref="U12:U21"/>
    <mergeCell ref="V12:V21"/>
    <mergeCell ref="W12:W21"/>
    <mergeCell ref="X12:X21"/>
    <mergeCell ref="Y12:Y21"/>
    <mergeCell ref="Z12:Z21"/>
    <mergeCell ref="A1:BL3"/>
    <mergeCell ref="AD9:AD10"/>
    <mergeCell ref="AF9:AF10"/>
    <mergeCell ref="AH9:AH10"/>
    <mergeCell ref="A4:AR4"/>
    <mergeCell ref="AS4:BN4"/>
    <mergeCell ref="J5:BN6"/>
    <mergeCell ref="B5:I5"/>
    <mergeCell ref="B6:I6"/>
    <mergeCell ref="AK9:AL9"/>
    <mergeCell ref="A8:I8"/>
    <mergeCell ref="J8:AJ8"/>
    <mergeCell ref="AK8:BO8"/>
    <mergeCell ref="J9:J10"/>
    <mergeCell ref="K9:K10"/>
    <mergeCell ref="L9:L10"/>
    <mergeCell ref="M9:M10"/>
    <mergeCell ref="N9:N10"/>
    <mergeCell ref="O9:O10"/>
    <mergeCell ref="P9:P10"/>
    <mergeCell ref="AC9:AC10"/>
    <mergeCell ref="AM9:BH9"/>
    <mergeCell ref="BI9:BN9"/>
    <mergeCell ref="AA9:AA10"/>
  </mergeCells>
  <conditionalFormatting sqref="BH12:BH21">
    <cfRule type="containsText" dxfId="83" priority="761" operator="containsText" text="DISMINUYE UN PUNTO">
      <formula>NOT(ISERROR(SEARCH("DISMINUYE UN PUNTO",BH12)))</formula>
    </cfRule>
    <cfRule type="containsText" dxfId="82" priority="762" operator="containsText" text="DISMINUYE CERO PUNTOS">
      <formula>NOT(ISERROR(SEARCH("DISMINUYE CERO PUNTOS",BH12)))</formula>
    </cfRule>
    <cfRule type="containsText" dxfId="81" priority="763" operator="containsText" text="DISMINUYE DOS PUNTOS">
      <formula>NOT(ISERROR(SEARCH("DISMINUYE DOS PUNTOS",BH12)))</formula>
    </cfRule>
  </conditionalFormatting>
  <conditionalFormatting sqref="BB12:BB20 BD12:BE21">
    <cfRule type="containsText" dxfId="80" priority="768" operator="containsText" text="DISMINUYE UN PUNTO">
      <formula>NOT(ISERROR(SEARCH("DISMINUYE UN PUNTO",BB12)))</formula>
    </cfRule>
    <cfRule type="containsText" dxfId="79" priority="769" operator="containsText" text="DISMINUYE CERO PUNTOS">
      <formula>NOT(ISERROR(SEARCH("DISMINUYE CERO PUNTOS",BB12)))</formula>
    </cfRule>
    <cfRule type="containsText" dxfId="78" priority="770" operator="containsText" text="DISMINUYE DOS PUNTOS">
      <formula>NOT(ISERROR(SEARCH("DISMINUYE DOS PUNTOS",BB12)))</formula>
    </cfRule>
  </conditionalFormatting>
  <conditionalFormatting sqref="BO12:BO21">
    <cfRule type="cellIs" dxfId="77" priority="764" stopIfTrue="1" operator="equal">
      <formula>"BAJO"</formula>
    </cfRule>
    <cfRule type="cellIs" dxfId="76" priority="765" stopIfTrue="1" operator="equal">
      <formula>"MODERADO"</formula>
    </cfRule>
    <cfRule type="cellIs" dxfId="75" priority="766" stopIfTrue="1" operator="equal">
      <formula>"ALTO"</formula>
    </cfRule>
    <cfRule type="cellIs" dxfId="74" priority="767" stopIfTrue="1" operator="equal">
      <formula>"EXTREMO"</formula>
    </cfRule>
  </conditionalFormatting>
  <conditionalFormatting sqref="I12:I21">
    <cfRule type="cellIs" dxfId="73" priority="760" operator="equal">
      <formula>0</formula>
    </cfRule>
  </conditionalFormatting>
  <conditionalFormatting sqref="BF12:BG21">
    <cfRule type="containsText" dxfId="72" priority="757" operator="containsText" text="DISMINUYE UN PUNTO">
      <formula>NOT(ISERROR(SEARCH("DISMINUYE UN PUNTO",BF12)))</formula>
    </cfRule>
    <cfRule type="containsText" dxfId="71" priority="758" operator="containsText" text="DISMINUYE CERO PUNTOS">
      <formula>NOT(ISERROR(SEARCH("DISMINUYE CERO PUNTOS",BF12)))</formula>
    </cfRule>
    <cfRule type="containsText" dxfId="70" priority="759" operator="containsText" text="DISMINUYE DOS PUNTOS">
      <formula>NOT(ISERROR(SEARCH("DISMINUYE DOS PUNTOS",BF12)))</formula>
    </cfRule>
  </conditionalFormatting>
  <conditionalFormatting sqref="BB21">
    <cfRule type="containsText" dxfId="69" priority="754" operator="containsText" text="DISMINUYE UN PUNTO">
      <formula>NOT(ISERROR(SEARCH("DISMINUYE UN PUNTO",BB21)))</formula>
    </cfRule>
    <cfRule type="containsText" dxfId="68" priority="755" operator="containsText" text="DISMINUYE CERO PUNTOS">
      <formula>NOT(ISERROR(SEARCH("DISMINUYE CERO PUNTOS",BB21)))</formula>
    </cfRule>
    <cfRule type="containsText" dxfId="67" priority="756" operator="containsText" text="DISMINUYE DOS PUNTOS">
      <formula>NOT(ISERROR(SEARCH("DISMINUYE DOS PUNTOS",BB21)))</formula>
    </cfRule>
  </conditionalFormatting>
  <conditionalFormatting sqref="AI12:AI20">
    <cfRule type="cellIs" dxfId="66" priority="750" stopIfTrue="1" operator="equal">
      <formula>"BAJO"</formula>
    </cfRule>
    <cfRule type="cellIs" dxfId="65" priority="751" stopIfTrue="1" operator="equal">
      <formula>"MODERADO"</formula>
    </cfRule>
    <cfRule type="cellIs" dxfId="64" priority="752" stopIfTrue="1" operator="equal">
      <formula>"ALTO"</formula>
    </cfRule>
    <cfRule type="cellIs" dxfId="63" priority="753" stopIfTrue="1" operator="equal">
      <formula>"EXTREMO"</formula>
    </cfRule>
  </conditionalFormatting>
  <conditionalFormatting sqref="AC12:AC20">
    <cfRule type="cellIs" dxfId="62" priority="749" operator="equal">
      <formula>0</formula>
    </cfRule>
  </conditionalFormatting>
  <conditionalFormatting sqref="AJ12:AJ20">
    <cfRule type="expression" dxfId="61" priority="748" stopIfTrue="1">
      <formula>IF(AF12="",AG12="","")</formula>
    </cfRule>
  </conditionalFormatting>
  <conditionalFormatting sqref="AJ12:AJ20">
    <cfRule type="containsText" dxfId="60" priority="745" stopIfTrue="1" operator="containsText" text="Reducir">
      <formula>NOT(ISERROR(SEARCH("Reducir",AJ12)))</formula>
    </cfRule>
    <cfRule type="containsText" dxfId="59" priority="746" stopIfTrue="1" operator="containsText" text="Asumir">
      <formula>NOT(ISERROR(SEARCH("Asumir",AJ12)))</formula>
    </cfRule>
    <cfRule type="containsText" dxfId="58" priority="747" stopIfTrue="1" operator="containsText" text="Evitar">
      <formula>NOT(ISERROR(SEARCH("Evitar",AJ12)))</formula>
    </cfRule>
  </conditionalFormatting>
  <conditionalFormatting sqref="BC12">
    <cfRule type="containsText" dxfId="57" priority="742" operator="containsText" text="DISMINUYE UN PUNTO">
      <formula>NOT(ISERROR(SEARCH("DISMINUYE UN PUNTO",BC12)))</formula>
    </cfRule>
    <cfRule type="containsText" dxfId="56" priority="743" operator="containsText" text="DISMINUYE CERO PUNTOS">
      <formula>NOT(ISERROR(SEARCH("DISMINUYE CERO PUNTOS",BC12)))</formula>
    </cfRule>
    <cfRule type="containsText" dxfId="55" priority="744" operator="containsText" text="DISMINUYE DOS PUNTOS">
      <formula>NOT(ISERROR(SEARCH("DISMINUYE DOS PUNTOS",BC12)))</formula>
    </cfRule>
  </conditionalFormatting>
  <conditionalFormatting sqref="BH23:BH32">
    <cfRule type="containsText" dxfId="54" priority="729" operator="containsText" text="DISMINUYE UN PUNTO">
      <formula>NOT(ISERROR(SEARCH("DISMINUYE UN PUNTO",BH23)))</formula>
    </cfRule>
    <cfRule type="containsText" dxfId="53" priority="730" operator="containsText" text="DISMINUYE CERO PUNTOS">
      <formula>NOT(ISERROR(SEARCH("DISMINUYE CERO PUNTOS",BH23)))</formula>
    </cfRule>
    <cfRule type="containsText" dxfId="52" priority="731" operator="containsText" text="DISMINUYE DOS PUNTOS">
      <formula>NOT(ISERROR(SEARCH("DISMINUYE DOS PUNTOS",BH23)))</formula>
    </cfRule>
  </conditionalFormatting>
  <conditionalFormatting sqref="BB23:BB31 BD23:BE32">
    <cfRule type="containsText" dxfId="51" priority="736" operator="containsText" text="DISMINUYE UN PUNTO">
      <formula>NOT(ISERROR(SEARCH("DISMINUYE UN PUNTO",BB23)))</formula>
    </cfRule>
    <cfRule type="containsText" dxfId="50" priority="737" operator="containsText" text="DISMINUYE CERO PUNTOS">
      <formula>NOT(ISERROR(SEARCH("DISMINUYE CERO PUNTOS",BB23)))</formula>
    </cfRule>
    <cfRule type="containsText" dxfId="49" priority="738" operator="containsText" text="DISMINUYE DOS PUNTOS">
      <formula>NOT(ISERROR(SEARCH("DISMINUYE DOS PUNTOS",BB23)))</formula>
    </cfRule>
  </conditionalFormatting>
  <conditionalFormatting sqref="BO23:BO32">
    <cfRule type="cellIs" dxfId="48" priority="732" stopIfTrue="1" operator="equal">
      <formula>"BAJO"</formula>
    </cfRule>
    <cfRule type="cellIs" dxfId="47" priority="733" stopIfTrue="1" operator="equal">
      <formula>"MODERADO"</formula>
    </cfRule>
    <cfRule type="cellIs" dxfId="46" priority="734" stopIfTrue="1" operator="equal">
      <formula>"ALTO"</formula>
    </cfRule>
    <cfRule type="cellIs" dxfId="45" priority="735" stopIfTrue="1" operator="equal">
      <formula>"EXTREMO"</formula>
    </cfRule>
  </conditionalFormatting>
  <conditionalFormatting sqref="BF23:BG32">
    <cfRule type="containsText" dxfId="44" priority="725" operator="containsText" text="DISMINUYE UN PUNTO">
      <formula>NOT(ISERROR(SEARCH("DISMINUYE UN PUNTO",BF23)))</formula>
    </cfRule>
    <cfRule type="containsText" dxfId="43" priority="726" operator="containsText" text="DISMINUYE CERO PUNTOS">
      <formula>NOT(ISERROR(SEARCH("DISMINUYE CERO PUNTOS",BF23)))</formula>
    </cfRule>
    <cfRule type="containsText" dxfId="42" priority="727" operator="containsText" text="DISMINUYE DOS PUNTOS">
      <formula>NOT(ISERROR(SEARCH("DISMINUYE DOS PUNTOS",BF23)))</formula>
    </cfRule>
  </conditionalFormatting>
  <conditionalFormatting sqref="BB32">
    <cfRule type="containsText" dxfId="41" priority="722" operator="containsText" text="DISMINUYE UN PUNTO">
      <formula>NOT(ISERROR(SEARCH("DISMINUYE UN PUNTO",BB32)))</formula>
    </cfRule>
    <cfRule type="containsText" dxfId="40" priority="723" operator="containsText" text="DISMINUYE CERO PUNTOS">
      <formula>NOT(ISERROR(SEARCH("DISMINUYE CERO PUNTOS",BB32)))</formula>
    </cfRule>
    <cfRule type="containsText" dxfId="39" priority="724" operator="containsText" text="DISMINUYE DOS PUNTOS">
      <formula>NOT(ISERROR(SEARCH("DISMINUYE DOS PUNTOS",BB32)))</formula>
    </cfRule>
  </conditionalFormatting>
  <conditionalFormatting sqref="AI23:AI31">
    <cfRule type="cellIs" dxfId="38" priority="718" stopIfTrue="1" operator="equal">
      <formula>"BAJO"</formula>
    </cfRule>
    <cfRule type="cellIs" dxfId="37" priority="719" stopIfTrue="1" operator="equal">
      <formula>"MODERADO"</formula>
    </cfRule>
    <cfRule type="cellIs" dxfId="36" priority="720" stopIfTrue="1" operator="equal">
      <formula>"ALTO"</formula>
    </cfRule>
    <cfRule type="cellIs" dxfId="35" priority="721" stopIfTrue="1" operator="equal">
      <formula>"EXTREMO"</formula>
    </cfRule>
  </conditionalFormatting>
  <conditionalFormatting sqref="AC23:AC31">
    <cfRule type="cellIs" dxfId="34" priority="717" operator="equal">
      <formula>0</formula>
    </cfRule>
  </conditionalFormatting>
  <conditionalFormatting sqref="AJ23:AJ31">
    <cfRule type="expression" dxfId="33" priority="716" stopIfTrue="1">
      <formula>IF(AF23="",AG23="","")</formula>
    </cfRule>
  </conditionalFormatting>
  <conditionalFormatting sqref="AJ23:AJ31">
    <cfRule type="containsText" dxfId="32" priority="713" stopIfTrue="1" operator="containsText" text="Reducir">
      <formula>NOT(ISERROR(SEARCH("Reducir",AJ23)))</formula>
    </cfRule>
    <cfRule type="containsText" dxfId="31" priority="714" stopIfTrue="1" operator="containsText" text="Asumir">
      <formula>NOT(ISERROR(SEARCH("Asumir",AJ23)))</formula>
    </cfRule>
    <cfRule type="containsText" dxfId="30" priority="715" stopIfTrue="1" operator="containsText" text="Evitar">
      <formula>NOT(ISERROR(SEARCH("Evitar",AJ23)))</formula>
    </cfRule>
  </conditionalFormatting>
  <conditionalFormatting sqref="AH12:AH20">
    <cfRule type="cellIs" dxfId="29" priority="479" stopIfTrue="1" operator="equal">
      <formula>"BAJO"</formula>
    </cfRule>
    <cfRule type="cellIs" dxfId="28" priority="480" stopIfTrue="1" operator="equal">
      <formula>"MODERADO"</formula>
    </cfRule>
    <cfRule type="cellIs" dxfId="27" priority="481" stopIfTrue="1" operator="equal">
      <formula>"ALTO"</formula>
    </cfRule>
    <cfRule type="cellIs" dxfId="26" priority="482" stopIfTrue="1" operator="equal">
      <formula>"EXTREMO"</formula>
    </cfRule>
  </conditionalFormatting>
  <conditionalFormatting sqref="AH23:AH31">
    <cfRule type="cellIs" dxfId="25" priority="475" stopIfTrue="1" operator="equal">
      <formula>"BAJO"</formula>
    </cfRule>
    <cfRule type="cellIs" dxfId="24" priority="476" stopIfTrue="1" operator="equal">
      <formula>"MODERADO"</formula>
    </cfRule>
    <cfRule type="cellIs" dxfId="23" priority="477" stopIfTrue="1" operator="equal">
      <formula>"ALTO"</formula>
    </cfRule>
    <cfRule type="cellIs" dxfId="22" priority="478" stopIfTrue="1" operator="equal">
      <formula>"EXTREMO"</formula>
    </cfRule>
  </conditionalFormatting>
  <conditionalFormatting sqref="BN12:BN20">
    <cfRule type="cellIs" dxfId="21" priority="443" stopIfTrue="1" operator="equal">
      <formula>"BAJO"</formula>
    </cfRule>
    <cfRule type="cellIs" dxfId="20" priority="444" stopIfTrue="1" operator="equal">
      <formula>"MODERADO"</formula>
    </cfRule>
    <cfRule type="cellIs" dxfId="19" priority="445" stopIfTrue="1" operator="equal">
      <formula>"ALTO"</formula>
    </cfRule>
    <cfRule type="cellIs" dxfId="18" priority="446" stopIfTrue="1" operator="equal">
      <formula>"EXTREMO"</formula>
    </cfRule>
  </conditionalFormatting>
  <conditionalFormatting sqref="BN23:BN31">
    <cfRule type="cellIs" dxfId="17" priority="439" stopIfTrue="1" operator="equal">
      <formula>"BAJO"</formula>
    </cfRule>
    <cfRule type="cellIs" dxfId="16" priority="440" stopIfTrue="1" operator="equal">
      <formula>"MODERADO"</formula>
    </cfRule>
    <cfRule type="cellIs" dxfId="15" priority="441" stopIfTrue="1" operator="equal">
      <formula>"ALTO"</formula>
    </cfRule>
    <cfRule type="cellIs" dxfId="14" priority="442" stopIfTrue="1" operator="equal">
      <formula>"EXTREMO"</formula>
    </cfRule>
  </conditionalFormatting>
  <conditionalFormatting sqref="BC13:BC21">
    <cfRule type="containsText" dxfId="13" priority="8" operator="containsText" text="DISMINUYE UN PUNTO">
      <formula>NOT(ISERROR(SEARCH("DISMINUYE UN PUNTO",BC13)))</formula>
    </cfRule>
    <cfRule type="containsText" dxfId="12" priority="9" operator="containsText" text="DISMINUYE CERO PUNTOS">
      <formula>NOT(ISERROR(SEARCH("DISMINUYE CERO PUNTOS",BC13)))</formula>
    </cfRule>
    <cfRule type="containsText" dxfId="11" priority="10" operator="containsText" text="DISMINUYE DOS PUNTOS">
      <formula>NOT(ISERROR(SEARCH("DISMINUYE DOS PUNTOS",BC13)))</formula>
    </cfRule>
  </conditionalFormatting>
  <conditionalFormatting sqref="BC23">
    <cfRule type="containsText" dxfId="10" priority="5" operator="containsText" text="DISMINUYE UN PUNTO">
      <formula>NOT(ISERROR(SEARCH("DISMINUYE UN PUNTO",BC23)))</formula>
    </cfRule>
    <cfRule type="containsText" dxfId="9" priority="6" operator="containsText" text="DISMINUYE CERO PUNTOS">
      <formula>NOT(ISERROR(SEARCH("DISMINUYE CERO PUNTOS",BC23)))</formula>
    </cfRule>
    <cfRule type="containsText" dxfId="8" priority="7" operator="containsText" text="DISMINUYE DOS PUNTOS">
      <formula>NOT(ISERROR(SEARCH("DISMINUYE DOS PUNTOS",BC23)))</formula>
    </cfRule>
  </conditionalFormatting>
  <conditionalFormatting sqref="BC24:BC32">
    <cfRule type="containsText" dxfId="7" priority="2" operator="containsText" text="DISMINUYE UN PUNTO">
      <formula>NOT(ISERROR(SEARCH("DISMINUYE UN PUNTO",BC24)))</formula>
    </cfRule>
    <cfRule type="containsText" dxfId="6" priority="3" operator="containsText" text="DISMINUYE CERO PUNTOS">
      <formula>NOT(ISERROR(SEARCH("DISMINUYE CERO PUNTOS",BC24)))</formula>
    </cfRule>
    <cfRule type="containsText" dxfId="5" priority="4" operator="containsText" text="DISMINUYE DOS PUNTOS">
      <formula>NOT(ISERROR(SEARCH("DISMINUYE DOS PUNTOS",BC24)))</formula>
    </cfRule>
  </conditionalFormatting>
  <conditionalFormatting sqref="I23:I32">
    <cfRule type="cellIs" dxfId="4" priority="1" operator="equal">
      <formula>0</formula>
    </cfRule>
  </conditionalFormatting>
  <pageMargins left="0.7" right="0.7" top="0.75" bottom="0.75" header="0.3" footer="0.3"/>
  <pageSetup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'D:\jolondonoc\Desktop\ADO\Riesgos\RIESGOS 2021 2022\[Formato Matriz de Riesgos y Oportunidades 2022 v5.xlsx]Formulas'!#REF!</xm:f>
          </x14:formula1>
          <xm:sqref>AJ12:AJ21 AJ23:AJ32</xm:sqref>
        </x14:dataValidation>
        <x14:dataValidation type="list" allowBlank="1" showInputMessage="1" showErrorMessage="1" xr:uid="{00000000-0002-0000-0400-000001000000}">
          <x14:formula1>
            <xm:f>Formulas!$U$5:$U$6</xm:f>
          </x14:formula1>
          <xm:sqref>J23:AB32 C23:F32 C12:F21 J12:AB21</xm:sqref>
        </x14:dataValidation>
        <x14:dataValidation type="list" allowBlank="1" showInputMessage="1" showErrorMessage="1" xr:uid="{00000000-0002-0000-0400-000002000000}">
          <x14:formula1>
            <xm:f>Formulas!$B$5:$B$9</xm:f>
          </x14:formula1>
          <xm:sqref>AD12:AD21 AD23:AD32</xm:sqref>
        </x14:dataValidation>
        <x14:dataValidation type="list" allowBlank="1" showInputMessage="1" showErrorMessage="1" xr:uid="{00000000-0002-0000-0400-000003000000}">
          <x14:formula1>
            <xm:f>Formulas!$Q$5:$Q$6</xm:f>
          </x14:formula1>
          <xm:sqref>AL23:AL32 AL12:AL21</xm:sqref>
        </x14:dataValidation>
        <x14:dataValidation type="list" allowBlank="1" showInputMessage="1" showErrorMessage="1" xr:uid="{00000000-0002-0000-0400-000004000000}">
          <x14:formula1>
            <xm:f>Formulas!$AF$5:$AF$6</xm:f>
          </x14:formula1>
          <xm:sqref>AM23:AM32 AM12:AM21</xm:sqref>
        </x14:dataValidation>
        <x14:dataValidation type="list" allowBlank="1" showInputMessage="1" showErrorMessage="1" xr:uid="{00000000-0002-0000-0400-000005000000}">
          <x14:formula1>
            <xm:f>Formulas!$AG$5:$AG$6</xm:f>
          </x14:formula1>
          <xm:sqref>AN23:AN32 AN12:AN21</xm:sqref>
        </x14:dataValidation>
        <x14:dataValidation type="list" allowBlank="1" showInputMessage="1" showErrorMessage="1" xr:uid="{00000000-0002-0000-0400-000006000000}">
          <x14:formula1>
            <xm:f>Formulas!$AH$5:$AH$6</xm:f>
          </x14:formula1>
          <xm:sqref>AO23:AO32 AO12:AO21</xm:sqref>
        </x14:dataValidation>
        <x14:dataValidation type="list" allowBlank="1" showInputMessage="1" showErrorMessage="1" xr:uid="{00000000-0002-0000-0400-000007000000}">
          <x14:formula1>
            <xm:f>Formulas!$AI$5:$AI$7</xm:f>
          </x14:formula1>
          <xm:sqref>AP23:AP32 AP12:AP21</xm:sqref>
        </x14:dataValidation>
        <x14:dataValidation type="list" allowBlank="1" showInputMessage="1" showErrorMessage="1" xr:uid="{00000000-0002-0000-0400-000008000000}">
          <x14:formula1>
            <xm:f>Formulas!$AJ$5:$AJ$6</xm:f>
          </x14:formula1>
          <xm:sqref>AQ23:AQ32 AQ12:AQ21</xm:sqref>
        </x14:dataValidation>
        <x14:dataValidation type="list" allowBlank="1" showInputMessage="1" showErrorMessage="1" xr:uid="{00000000-0002-0000-0400-000009000000}">
          <x14:formula1>
            <xm:f>Formulas!$AK$5:$AK$6</xm:f>
          </x14:formula1>
          <xm:sqref>AR23:AR32 AR12:AR21</xm:sqref>
        </x14:dataValidation>
        <x14:dataValidation type="list" allowBlank="1" showInputMessage="1" showErrorMessage="1" xr:uid="{00000000-0002-0000-0400-00000A000000}">
          <x14:formula1>
            <xm:f>Formulas!$AL$5:$AL$7</xm:f>
          </x14:formula1>
          <xm:sqref>AS23:AS32 AS12:AS21</xm:sqref>
        </x14:dataValidation>
        <x14:dataValidation type="list" allowBlank="1" showInputMessage="1" showErrorMessage="1" xr:uid="{00000000-0002-0000-0400-00000B000000}">
          <x14:formula1>
            <xm:f>Formulas!$Z$5:$Z$7</xm:f>
          </x14:formula1>
          <xm:sqref>BC23:BC32 BC12:BC21</xm:sqref>
        </x14:dataValidation>
        <x14:dataValidation type="list" allowBlank="1" showInputMessage="1" showErrorMessage="1" xr:uid="{00000000-0002-0000-0400-00000C000000}">
          <x14:formula1>
            <xm:f>Formulas!$O$5:$O$32</xm:f>
          </x14:formula1>
          <xm:sqref>B5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U140"/>
  <sheetViews>
    <sheetView zoomScale="55" zoomScaleNormal="55" workbookViewId="0">
      <selection activeCell="T20" sqref="T20:U21"/>
    </sheetView>
  </sheetViews>
  <sheetFormatPr baseColWidth="10" defaultColWidth="11.44140625" defaultRowHeight="14.4" x14ac:dyDescent="0.3"/>
  <cols>
    <col min="2" max="39" width="5.6640625" customWidth="1"/>
    <col min="41" max="46" width="5.6640625" customWidth="1"/>
  </cols>
  <sheetData>
    <row r="1" spans="1:99" x14ac:dyDescent="0.3">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3">
      <c r="A2" s="83"/>
      <c r="B2" s="523" t="s">
        <v>314</v>
      </c>
      <c r="C2" s="523"/>
      <c r="D2" s="523"/>
      <c r="E2" s="523"/>
      <c r="F2" s="523"/>
      <c r="G2" s="523"/>
      <c r="H2" s="523"/>
      <c r="I2" s="523"/>
      <c r="J2" s="560" t="s">
        <v>19</v>
      </c>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3">
      <c r="A3" s="83"/>
      <c r="B3" s="523"/>
      <c r="C3" s="523"/>
      <c r="D3" s="523"/>
      <c r="E3" s="523"/>
      <c r="F3" s="523"/>
      <c r="G3" s="523"/>
      <c r="H3" s="523"/>
      <c r="I3" s="523"/>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3">
      <c r="A4" s="83"/>
      <c r="B4" s="523"/>
      <c r="C4" s="523"/>
      <c r="D4" s="523"/>
      <c r="E4" s="523"/>
      <c r="F4" s="523"/>
      <c r="G4" s="523"/>
      <c r="H4" s="523"/>
      <c r="I4" s="523"/>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 thickBot="1" x14ac:dyDescent="0.3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3">
      <c r="A6" s="83"/>
      <c r="B6" s="571" t="s">
        <v>315</v>
      </c>
      <c r="C6" s="571"/>
      <c r="D6" s="572"/>
      <c r="E6" s="561" t="s">
        <v>316</v>
      </c>
      <c r="F6" s="562"/>
      <c r="G6" s="562"/>
      <c r="H6" s="562"/>
      <c r="I6" s="563"/>
      <c r="J6" s="557" t="str">
        <f>IF(AND('Riesgos gestion'!$H$13="Muy Alta",'Riesgos gestion'!$L$13="Leve"),CONCATENATE("R",'Riesgos gestion'!$A$13),"")</f>
        <v/>
      </c>
      <c r="K6" s="558"/>
      <c r="L6" s="558" t="str">
        <f>IF(AND('Riesgos gestion'!$H$19="Muy Alta",'Riesgos gestion'!$L$19="Leve"),CONCATENATE("R",'Riesgos gestion'!$A$19),"")</f>
        <v/>
      </c>
      <c r="M6" s="558"/>
      <c r="N6" s="558" t="str">
        <f>IF(AND('Riesgos gestion'!$H$25="Muy Alta",'Riesgos gestion'!$L$25="Leve"),CONCATENATE("R",'Riesgos gestion'!$A$25),"")</f>
        <v/>
      </c>
      <c r="O6" s="559"/>
      <c r="P6" s="557" t="str">
        <f>IF(AND('Riesgos gestion'!$H$13="Muy Alta",'Riesgos gestion'!$L$13="Menor"),CONCATENATE("R",'Riesgos gestion'!$A$13),"")</f>
        <v/>
      </c>
      <c r="Q6" s="558"/>
      <c r="R6" s="558" t="str">
        <f>IF(AND('Riesgos gestion'!$H$19="Muy Alta",'Riesgos gestion'!$L$19="Menor"),CONCATENATE("R",'Riesgos gestion'!$A$19),"")</f>
        <v/>
      </c>
      <c r="S6" s="558"/>
      <c r="T6" s="558" t="str">
        <f>IF(AND('Riesgos gestion'!$H$25="Muy Alta",'Riesgos gestion'!$L$25="Menor"),CONCATENATE("R",'Riesgos gestion'!$A$25),"")</f>
        <v/>
      </c>
      <c r="U6" s="559"/>
      <c r="V6" s="557" t="str">
        <f>IF(AND('Riesgos gestion'!$H$13="Muy Alta",'Riesgos gestion'!$L$13="Moderado"),CONCATENATE("R",'Riesgos gestion'!$A$13),"")</f>
        <v/>
      </c>
      <c r="W6" s="558"/>
      <c r="X6" s="558" t="str">
        <f>IF(AND('Riesgos gestion'!$H$19="Muy Alta",'Riesgos gestion'!$L$19="Moderado"),CONCATENATE("R",'Riesgos gestion'!$A$19),"")</f>
        <v/>
      </c>
      <c r="Y6" s="558"/>
      <c r="Z6" s="558" t="str">
        <f>IF(AND('Riesgos gestion'!$H$25="Muy Alta",'Riesgos gestion'!$L$25="Moderado"),CONCATENATE("R",'Riesgos gestion'!$A$25),"")</f>
        <v/>
      </c>
      <c r="AA6" s="559"/>
      <c r="AB6" s="557" t="str">
        <f>IF(AND('Riesgos gestion'!$H$13="Muy Alta",'Riesgos gestion'!$L$13="Mayor"),CONCATENATE("R",'Riesgos gestion'!$A$13),"")</f>
        <v/>
      </c>
      <c r="AC6" s="558"/>
      <c r="AD6" s="558" t="str">
        <f>IF(AND('Riesgos gestion'!$H$19="Muy Alta",'Riesgos gestion'!$L$19="Mayor"),CONCATENATE("R",'Riesgos gestion'!$A$19),"")</f>
        <v/>
      </c>
      <c r="AE6" s="558"/>
      <c r="AF6" s="558" t="str">
        <f>IF(AND('Riesgos gestion'!$H$25="Muy Alta",'Riesgos gestion'!$L$25="Mayor"),CONCATENATE("R",'Riesgos gestion'!$A$25),"")</f>
        <v/>
      </c>
      <c r="AG6" s="559"/>
      <c r="AH6" s="548" t="str">
        <f>IF(AND('Riesgos gestion'!$H$13="Muy Alta",'Riesgos gestion'!$L$13="Catastrófico"),CONCATENATE("R",'Riesgos gestion'!$A$13),"")</f>
        <v/>
      </c>
      <c r="AI6" s="549"/>
      <c r="AJ6" s="549" t="str">
        <f>IF(AND('Riesgos gestion'!$H$19="Muy Alta",'Riesgos gestion'!$L$19="Catastrófico"),CONCATENATE("R",'Riesgos gestion'!$A$19),"")</f>
        <v/>
      </c>
      <c r="AK6" s="549"/>
      <c r="AL6" s="549" t="str">
        <f>IF(AND('Riesgos gestion'!$H$25="Muy Alta",'Riesgos gestion'!$L$25="Catastrófico"),CONCATENATE("R",'Riesgos gestion'!$A$25),"")</f>
        <v/>
      </c>
      <c r="AM6" s="550"/>
      <c r="AO6" s="573" t="s">
        <v>317</v>
      </c>
      <c r="AP6" s="574"/>
      <c r="AQ6" s="574"/>
      <c r="AR6" s="574"/>
      <c r="AS6" s="574"/>
      <c r="AT6" s="57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3">
      <c r="A7" s="83"/>
      <c r="B7" s="571"/>
      <c r="C7" s="571"/>
      <c r="D7" s="572"/>
      <c r="E7" s="564"/>
      <c r="F7" s="565"/>
      <c r="G7" s="565"/>
      <c r="H7" s="565"/>
      <c r="I7" s="566"/>
      <c r="J7" s="551"/>
      <c r="K7" s="552"/>
      <c r="L7" s="552"/>
      <c r="M7" s="552"/>
      <c r="N7" s="552"/>
      <c r="O7" s="553"/>
      <c r="P7" s="551"/>
      <c r="Q7" s="552"/>
      <c r="R7" s="552"/>
      <c r="S7" s="552"/>
      <c r="T7" s="552"/>
      <c r="U7" s="553"/>
      <c r="V7" s="551"/>
      <c r="W7" s="552"/>
      <c r="X7" s="552"/>
      <c r="Y7" s="552"/>
      <c r="Z7" s="552"/>
      <c r="AA7" s="553"/>
      <c r="AB7" s="551"/>
      <c r="AC7" s="552"/>
      <c r="AD7" s="552"/>
      <c r="AE7" s="552"/>
      <c r="AF7" s="552"/>
      <c r="AG7" s="553"/>
      <c r="AH7" s="542"/>
      <c r="AI7" s="543"/>
      <c r="AJ7" s="543"/>
      <c r="AK7" s="543"/>
      <c r="AL7" s="543"/>
      <c r="AM7" s="544"/>
      <c r="AN7" s="83"/>
      <c r="AO7" s="576"/>
      <c r="AP7" s="577"/>
      <c r="AQ7" s="577"/>
      <c r="AR7" s="577"/>
      <c r="AS7" s="577"/>
      <c r="AT7" s="57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3">
      <c r="A8" s="83"/>
      <c r="B8" s="571"/>
      <c r="C8" s="571"/>
      <c r="D8" s="572"/>
      <c r="E8" s="564"/>
      <c r="F8" s="565"/>
      <c r="G8" s="565"/>
      <c r="H8" s="565"/>
      <c r="I8" s="566"/>
      <c r="J8" s="551" t="str">
        <f>IF(AND('Riesgos gestion'!$H$31="Muy Alta",'Riesgos gestion'!$L$31="Leve"),CONCATENATE("R",'Riesgos gestion'!$A$31),"")</f>
        <v/>
      </c>
      <c r="K8" s="552"/>
      <c r="L8" s="552" t="str">
        <f>IF(AND('Riesgos gestion'!$H$37="Muy Alta",'Riesgos gestion'!$L$37="Leve"),CONCATENATE("R",'Riesgos gestion'!$A$37),"")</f>
        <v/>
      </c>
      <c r="M8" s="552"/>
      <c r="N8" s="552" t="str">
        <f>IF(AND('Riesgos gestion'!$H$43="Muy Alta",'Riesgos gestion'!$L$43="Leve"),CONCATENATE("R",'Riesgos gestion'!$A$43),"")</f>
        <v/>
      </c>
      <c r="O8" s="553"/>
      <c r="P8" s="551" t="str">
        <f>IF(AND('Riesgos gestion'!$H$31="Muy Alta",'Riesgos gestion'!$L$31="Menor"),CONCATENATE("R",'Riesgos gestion'!$A$31),"")</f>
        <v/>
      </c>
      <c r="Q8" s="552"/>
      <c r="R8" s="552" t="str">
        <f>IF(AND('Riesgos gestion'!$H$37="Muy Alta",'Riesgos gestion'!$L$37="Menor"),CONCATENATE("R",'Riesgos gestion'!$A$37),"")</f>
        <v/>
      </c>
      <c r="S8" s="552"/>
      <c r="T8" s="552" t="str">
        <f>IF(AND('Riesgos gestion'!$H$43="Muy Alta",'Riesgos gestion'!$L$43="Menor"),CONCATENATE("R",'Riesgos gestion'!$A$43),"")</f>
        <v/>
      </c>
      <c r="U8" s="553"/>
      <c r="V8" s="551" t="str">
        <f>IF(AND('Riesgos gestion'!$H$31="Muy Alta",'Riesgos gestion'!$L$31="Moderado"),CONCATENATE("R",'Riesgos gestion'!$A$31),"")</f>
        <v/>
      </c>
      <c r="W8" s="552"/>
      <c r="X8" s="552" t="str">
        <f>IF(AND('Riesgos gestion'!$H$37="Muy Alta",'Riesgos gestion'!$L$37="Moderado"),CONCATENATE("R",'Riesgos gestion'!$A$37),"")</f>
        <v/>
      </c>
      <c r="Y8" s="552"/>
      <c r="Z8" s="552" t="str">
        <f>IF(AND('Riesgos gestion'!$H$43="Muy Alta",'Riesgos gestion'!$L$43="Moderado"),CONCATENATE("R",'Riesgos gestion'!$A$43),"")</f>
        <v/>
      </c>
      <c r="AA8" s="553"/>
      <c r="AB8" s="551" t="str">
        <f>IF(AND('Riesgos gestion'!$H$31="Muy Alta",'Riesgos gestion'!$L$31="Mayor"),CONCATENATE("R",'Riesgos gestion'!$A$31),"")</f>
        <v/>
      </c>
      <c r="AC8" s="552"/>
      <c r="AD8" s="552" t="str">
        <f>IF(AND('Riesgos gestion'!$H$37="Muy Alta",'Riesgos gestion'!$L$37="Mayor"),CONCATENATE("R",'Riesgos gestion'!$A$37),"")</f>
        <v/>
      </c>
      <c r="AE8" s="552"/>
      <c r="AF8" s="552" t="str">
        <f>IF(AND('Riesgos gestion'!$H$43="Muy Alta",'Riesgos gestion'!$L$43="Mayor"),CONCATENATE("R",'Riesgos gestion'!$A$43),"")</f>
        <v/>
      </c>
      <c r="AG8" s="553"/>
      <c r="AH8" s="542" t="str">
        <f>IF(AND('Riesgos gestion'!$H$31="Muy Alta",'Riesgos gestion'!$L$31="Catastrófico"),CONCATENATE("R",'Riesgos gestion'!$A$31),"")</f>
        <v/>
      </c>
      <c r="AI8" s="543"/>
      <c r="AJ8" s="543" t="str">
        <f>IF(AND('Riesgos gestion'!$H$37="Muy Alta",'Riesgos gestion'!$L$37="Catastrófico"),CONCATENATE("R",'Riesgos gestion'!$A$37),"")</f>
        <v/>
      </c>
      <c r="AK8" s="543"/>
      <c r="AL8" s="543" t="str">
        <f>IF(AND('Riesgos gestion'!$H$43="Muy Alta",'Riesgos gestion'!$L$43="Catastrófico"),CONCATENATE("R",'Riesgos gestion'!$A$43),"")</f>
        <v/>
      </c>
      <c r="AM8" s="544"/>
      <c r="AN8" s="83"/>
      <c r="AO8" s="576"/>
      <c r="AP8" s="577"/>
      <c r="AQ8" s="577"/>
      <c r="AR8" s="577"/>
      <c r="AS8" s="577"/>
      <c r="AT8" s="57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3">
      <c r="A9" s="83"/>
      <c r="B9" s="571"/>
      <c r="C9" s="571"/>
      <c r="D9" s="572"/>
      <c r="E9" s="564"/>
      <c r="F9" s="565"/>
      <c r="G9" s="565"/>
      <c r="H9" s="565"/>
      <c r="I9" s="566"/>
      <c r="J9" s="551"/>
      <c r="K9" s="552"/>
      <c r="L9" s="552"/>
      <c r="M9" s="552"/>
      <c r="N9" s="552"/>
      <c r="O9" s="553"/>
      <c r="P9" s="551"/>
      <c r="Q9" s="552"/>
      <c r="R9" s="552"/>
      <c r="S9" s="552"/>
      <c r="T9" s="552"/>
      <c r="U9" s="553"/>
      <c r="V9" s="551"/>
      <c r="W9" s="552"/>
      <c r="X9" s="552"/>
      <c r="Y9" s="552"/>
      <c r="Z9" s="552"/>
      <c r="AA9" s="553"/>
      <c r="AB9" s="551"/>
      <c r="AC9" s="552"/>
      <c r="AD9" s="552"/>
      <c r="AE9" s="552"/>
      <c r="AF9" s="552"/>
      <c r="AG9" s="553"/>
      <c r="AH9" s="542"/>
      <c r="AI9" s="543"/>
      <c r="AJ9" s="543"/>
      <c r="AK9" s="543"/>
      <c r="AL9" s="543"/>
      <c r="AM9" s="544"/>
      <c r="AN9" s="83"/>
      <c r="AO9" s="576"/>
      <c r="AP9" s="577"/>
      <c r="AQ9" s="577"/>
      <c r="AR9" s="577"/>
      <c r="AS9" s="577"/>
      <c r="AT9" s="57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3">
      <c r="A10" s="83"/>
      <c r="B10" s="571"/>
      <c r="C10" s="571"/>
      <c r="D10" s="572"/>
      <c r="E10" s="564"/>
      <c r="F10" s="565"/>
      <c r="G10" s="565"/>
      <c r="H10" s="565"/>
      <c r="I10" s="566"/>
      <c r="J10" s="551" t="str">
        <f>IF(AND('Riesgos gestion'!$H$49="Muy Alta",'Riesgos gestion'!$L$49="Leve"),CONCATENATE("R",'Riesgos gestion'!$A$49),"")</f>
        <v/>
      </c>
      <c r="K10" s="552"/>
      <c r="L10" s="552" t="str">
        <f>IF(AND('Riesgos gestion'!$H$55="Muy Alta",'Riesgos gestion'!$L$55="Leve"),CONCATENATE("R",'Riesgos gestion'!$A$55),"")</f>
        <v/>
      </c>
      <c r="M10" s="552"/>
      <c r="N10" s="552" t="str">
        <f>IF(AND('Riesgos gestion'!$H$61="Muy Alta",'Riesgos gestion'!$L$61="Leve"),CONCATENATE("R",'Riesgos gestion'!$A$61),"")</f>
        <v/>
      </c>
      <c r="O10" s="553"/>
      <c r="P10" s="551" t="str">
        <f>IF(AND('Riesgos gestion'!$H$49="Muy Alta",'Riesgos gestion'!$L$49="Menor"),CONCATENATE("R",'Riesgos gestion'!$A$49),"")</f>
        <v/>
      </c>
      <c r="Q10" s="552"/>
      <c r="R10" s="552" t="str">
        <f>IF(AND('Riesgos gestion'!$H$55="Muy Alta",'Riesgos gestion'!$L$55="Menor"),CONCATENATE("R",'Riesgos gestion'!$A$55),"")</f>
        <v/>
      </c>
      <c r="S10" s="552"/>
      <c r="T10" s="552" t="str">
        <f>IF(AND('Riesgos gestion'!$H$61="Muy Alta",'Riesgos gestion'!$L$61="Menor"),CONCATENATE("R",'Riesgos gestion'!$A$61),"")</f>
        <v/>
      </c>
      <c r="U10" s="553"/>
      <c r="V10" s="551" t="str">
        <f>IF(AND('Riesgos gestion'!$H$49="Muy Alta",'Riesgos gestion'!$L$49="Moderado"),CONCATENATE("R",'Riesgos gestion'!$A$49),"")</f>
        <v/>
      </c>
      <c r="W10" s="552"/>
      <c r="X10" s="552" t="str">
        <f>IF(AND('Riesgos gestion'!$H$55="Muy Alta",'Riesgos gestion'!$L$55="Moderado"),CONCATENATE("R",'Riesgos gestion'!$A$55),"")</f>
        <v/>
      </c>
      <c r="Y10" s="552"/>
      <c r="Z10" s="552" t="str">
        <f>IF(AND('Riesgos gestion'!$H$61="Muy Alta",'Riesgos gestion'!$L$61="Moderado"),CONCATENATE("R",'Riesgos gestion'!$A$61),"")</f>
        <v/>
      </c>
      <c r="AA10" s="553"/>
      <c r="AB10" s="551" t="str">
        <f>IF(AND('Riesgos gestion'!$H$49="Muy Alta",'Riesgos gestion'!$L$49="Mayor"),CONCATENATE("R",'Riesgos gestion'!$A$49),"")</f>
        <v/>
      </c>
      <c r="AC10" s="552"/>
      <c r="AD10" s="552" t="str">
        <f>IF(AND('Riesgos gestion'!$H$55="Muy Alta",'Riesgos gestion'!$L$55="Mayor"),CONCATENATE("R",'Riesgos gestion'!$A$55),"")</f>
        <v/>
      </c>
      <c r="AE10" s="552"/>
      <c r="AF10" s="552" t="str">
        <f>IF(AND('Riesgos gestion'!$H$61="Muy Alta",'Riesgos gestion'!$L$61="Mayor"),CONCATENATE("R",'Riesgos gestion'!$A$61),"")</f>
        <v/>
      </c>
      <c r="AG10" s="553"/>
      <c r="AH10" s="542" t="str">
        <f>IF(AND('Riesgos gestion'!$H$49="Muy Alta",'Riesgos gestion'!$L$49="Catastrófico"),CONCATENATE("R",'Riesgos gestion'!$A$49),"")</f>
        <v/>
      </c>
      <c r="AI10" s="543"/>
      <c r="AJ10" s="543" t="str">
        <f>IF(AND('Riesgos gestion'!$H$55="Muy Alta",'Riesgos gestion'!$L$55="Catastrófico"),CONCATENATE("R",'Riesgos gestion'!$A$55),"")</f>
        <v/>
      </c>
      <c r="AK10" s="543"/>
      <c r="AL10" s="543" t="str">
        <f>IF(AND('Riesgos gestion'!$H$61="Muy Alta",'Riesgos gestion'!$L$61="Catastrófico"),CONCATENATE("R",'Riesgos gestion'!$A$61),"")</f>
        <v/>
      </c>
      <c r="AM10" s="544"/>
      <c r="AN10" s="83"/>
      <c r="AO10" s="576"/>
      <c r="AP10" s="577"/>
      <c r="AQ10" s="577"/>
      <c r="AR10" s="577"/>
      <c r="AS10" s="577"/>
      <c r="AT10" s="57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3">
      <c r="A11" s="83"/>
      <c r="B11" s="571"/>
      <c r="C11" s="571"/>
      <c r="D11" s="572"/>
      <c r="E11" s="564"/>
      <c r="F11" s="565"/>
      <c r="G11" s="565"/>
      <c r="H11" s="565"/>
      <c r="I11" s="566"/>
      <c r="J11" s="551"/>
      <c r="K11" s="552"/>
      <c r="L11" s="552"/>
      <c r="M11" s="552"/>
      <c r="N11" s="552"/>
      <c r="O11" s="553"/>
      <c r="P11" s="551"/>
      <c r="Q11" s="552"/>
      <c r="R11" s="552"/>
      <c r="S11" s="552"/>
      <c r="T11" s="552"/>
      <c r="U11" s="553"/>
      <c r="V11" s="551"/>
      <c r="W11" s="552"/>
      <c r="X11" s="552"/>
      <c r="Y11" s="552"/>
      <c r="Z11" s="552"/>
      <c r="AA11" s="553"/>
      <c r="AB11" s="551"/>
      <c r="AC11" s="552"/>
      <c r="AD11" s="552"/>
      <c r="AE11" s="552"/>
      <c r="AF11" s="552"/>
      <c r="AG11" s="553"/>
      <c r="AH11" s="542"/>
      <c r="AI11" s="543"/>
      <c r="AJ11" s="543"/>
      <c r="AK11" s="543"/>
      <c r="AL11" s="543"/>
      <c r="AM11" s="544"/>
      <c r="AN11" s="83"/>
      <c r="AO11" s="576"/>
      <c r="AP11" s="577"/>
      <c r="AQ11" s="577"/>
      <c r="AR11" s="577"/>
      <c r="AS11" s="577"/>
      <c r="AT11" s="57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3">
      <c r="A12" s="83"/>
      <c r="B12" s="571"/>
      <c r="C12" s="571"/>
      <c r="D12" s="572"/>
      <c r="E12" s="564"/>
      <c r="F12" s="565"/>
      <c r="G12" s="565"/>
      <c r="H12" s="565"/>
      <c r="I12" s="566"/>
      <c r="J12" s="551" t="str">
        <f>IF(AND('Riesgos gestion'!$H$67="Muy Alta",'Riesgos gestion'!$L$67="Leve"),CONCATENATE("R",'Riesgos gestion'!$A$67),"")</f>
        <v/>
      </c>
      <c r="K12" s="552"/>
      <c r="L12" s="552" t="str">
        <f>IF(AND('Riesgos gestion'!$H$73="Muy Alta",'Riesgos gestion'!$L$73="Leve"),CONCATENATE("R",'Riesgos gestion'!$A$73),"")</f>
        <v/>
      </c>
      <c r="M12" s="552"/>
      <c r="N12" s="552" t="str">
        <f>IF(AND('Riesgos gestion'!$H$79="Muy Alta",'Riesgos gestion'!$L$79="Leve"),CONCATENATE("R",'Riesgos gestion'!$A$79),"")</f>
        <v/>
      </c>
      <c r="O12" s="553"/>
      <c r="P12" s="551" t="str">
        <f>IF(AND('Riesgos gestion'!$H$67="Muy Alta",'Riesgos gestion'!$L$67="Menor"),CONCATENATE("R",'Riesgos gestion'!$A$67),"")</f>
        <v/>
      </c>
      <c r="Q12" s="552"/>
      <c r="R12" s="552" t="str">
        <f>IF(AND('Riesgos gestion'!$H$73="Muy Alta",'Riesgos gestion'!$L$73="Menor"),CONCATENATE("R",'Riesgos gestion'!$A$73),"")</f>
        <v/>
      </c>
      <c r="S12" s="552"/>
      <c r="T12" s="552" t="str">
        <f>IF(AND('Riesgos gestion'!$H$79="Muy Alta",'Riesgos gestion'!$L$79="Menor"),CONCATENATE("R",'Riesgos gestion'!$A$79),"")</f>
        <v/>
      </c>
      <c r="U12" s="553"/>
      <c r="V12" s="551" t="str">
        <f>IF(AND('Riesgos gestion'!$H$67="Muy Alta",'Riesgos gestion'!$L$67="Moderado"),CONCATENATE("R",'Riesgos gestion'!$A$67),"")</f>
        <v/>
      </c>
      <c r="W12" s="552"/>
      <c r="X12" s="552" t="str">
        <f>IF(AND('Riesgos gestion'!$H$73="Muy Alta",'Riesgos gestion'!$L$73="Moderado"),CONCATENATE("R",'Riesgos gestion'!$A$73),"")</f>
        <v/>
      </c>
      <c r="Y12" s="552"/>
      <c r="Z12" s="552" t="str">
        <f>IF(AND('Riesgos gestion'!$H$79="Muy Alta",'Riesgos gestion'!$L$79="Moderado"),CONCATENATE("R",'Riesgos gestion'!$A$79),"")</f>
        <v/>
      </c>
      <c r="AA12" s="553"/>
      <c r="AB12" s="551" t="str">
        <f>IF(AND('Riesgos gestion'!$H$67="Muy Alta",'Riesgos gestion'!$L$67="Mayor"),CONCATENATE("R",'Riesgos gestion'!$A$67),"")</f>
        <v/>
      </c>
      <c r="AC12" s="552"/>
      <c r="AD12" s="552" t="str">
        <f>IF(AND('Riesgos gestion'!$H$73="Muy Alta",'Riesgos gestion'!$L$73="Mayor"),CONCATENATE("R",'Riesgos gestion'!$A$73),"")</f>
        <v/>
      </c>
      <c r="AE12" s="552"/>
      <c r="AF12" s="552" t="str">
        <f>IF(AND('Riesgos gestion'!$H$79="Muy Alta",'Riesgos gestion'!$L$79="Mayor"),CONCATENATE("R",'Riesgos gestion'!$A$79),"")</f>
        <v/>
      </c>
      <c r="AG12" s="553"/>
      <c r="AH12" s="542" t="str">
        <f>IF(AND('Riesgos gestion'!$H$67="Muy Alta",'Riesgos gestion'!$L$67="Catastrófico"),CONCATENATE("R",'Riesgos gestion'!$A$67),"")</f>
        <v/>
      </c>
      <c r="AI12" s="543"/>
      <c r="AJ12" s="543" t="str">
        <f>IF(AND('Riesgos gestion'!$H$73="Muy Alta",'Riesgos gestion'!$L$73="Catastrófico"),CONCATENATE("R",'Riesgos gestion'!$A$73),"")</f>
        <v/>
      </c>
      <c r="AK12" s="543"/>
      <c r="AL12" s="543" t="str">
        <f>IF(AND('Riesgos gestion'!$H$79="Muy Alta",'Riesgos gestion'!$L$79="Catastrófico"),CONCATENATE("R",'Riesgos gestion'!$A$79),"")</f>
        <v/>
      </c>
      <c r="AM12" s="544"/>
      <c r="AN12" s="83"/>
      <c r="AO12" s="576"/>
      <c r="AP12" s="577"/>
      <c r="AQ12" s="577"/>
      <c r="AR12" s="577"/>
      <c r="AS12" s="577"/>
      <c r="AT12" s="57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5">
      <c r="A13" s="83"/>
      <c r="B13" s="571"/>
      <c r="C13" s="571"/>
      <c r="D13" s="572"/>
      <c r="E13" s="567"/>
      <c r="F13" s="568"/>
      <c r="G13" s="568"/>
      <c r="H13" s="568"/>
      <c r="I13" s="569"/>
      <c r="J13" s="551"/>
      <c r="K13" s="552"/>
      <c r="L13" s="552"/>
      <c r="M13" s="552"/>
      <c r="N13" s="552"/>
      <c r="O13" s="553"/>
      <c r="P13" s="551"/>
      <c r="Q13" s="552"/>
      <c r="R13" s="552"/>
      <c r="S13" s="552"/>
      <c r="T13" s="552"/>
      <c r="U13" s="553"/>
      <c r="V13" s="551"/>
      <c r="W13" s="552"/>
      <c r="X13" s="552"/>
      <c r="Y13" s="552"/>
      <c r="Z13" s="552"/>
      <c r="AA13" s="553"/>
      <c r="AB13" s="551"/>
      <c r="AC13" s="552"/>
      <c r="AD13" s="552"/>
      <c r="AE13" s="552"/>
      <c r="AF13" s="552"/>
      <c r="AG13" s="553"/>
      <c r="AH13" s="545"/>
      <c r="AI13" s="546"/>
      <c r="AJ13" s="546"/>
      <c r="AK13" s="546"/>
      <c r="AL13" s="546"/>
      <c r="AM13" s="547"/>
      <c r="AN13" s="83"/>
      <c r="AO13" s="579"/>
      <c r="AP13" s="580"/>
      <c r="AQ13" s="580"/>
      <c r="AR13" s="580"/>
      <c r="AS13" s="580"/>
      <c r="AT13" s="581"/>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3">
      <c r="A14" s="83"/>
      <c r="B14" s="571"/>
      <c r="C14" s="571"/>
      <c r="D14" s="572"/>
      <c r="E14" s="561" t="s">
        <v>318</v>
      </c>
      <c r="F14" s="562"/>
      <c r="G14" s="562"/>
      <c r="H14" s="562"/>
      <c r="I14" s="562"/>
      <c r="J14" s="539" t="str">
        <f>IF(AND('Riesgos gestion'!$H$13="Alta",'Riesgos gestion'!$L$13="Leve"),CONCATENATE("R",'Riesgos gestion'!$A$13),"")</f>
        <v/>
      </c>
      <c r="K14" s="540"/>
      <c r="L14" s="540" t="str">
        <f>IF(AND('Riesgos gestion'!$H$19="Alta",'Riesgos gestion'!$L$19="Leve"),CONCATENATE("R",'Riesgos gestion'!$A$19),"")</f>
        <v/>
      </c>
      <c r="M14" s="540"/>
      <c r="N14" s="540" t="str">
        <f>IF(AND('Riesgos gestion'!$H$25="Alta",'Riesgos gestion'!$L$25="Leve"),CONCATENATE("R",'Riesgos gestion'!$A$25),"")</f>
        <v/>
      </c>
      <c r="O14" s="541"/>
      <c r="P14" s="539" t="str">
        <f>IF(AND('Riesgos gestion'!$H$13="Alta",'Riesgos gestion'!$L$13="Menor"),CONCATENATE("R",'Riesgos gestion'!$A$13),"")</f>
        <v/>
      </c>
      <c r="Q14" s="540"/>
      <c r="R14" s="540" t="str">
        <f>IF(AND('Riesgos gestion'!$H$19="Alta",'Riesgos gestion'!$L$19="Menor"),CONCATENATE("R",'Riesgos gestion'!$A$19),"")</f>
        <v/>
      </c>
      <c r="S14" s="540"/>
      <c r="T14" s="540" t="str">
        <f>IF(AND('Riesgos gestion'!$H$25="Alta",'Riesgos gestion'!$L$25="Menor"),CONCATENATE("R",'Riesgos gestion'!$A$25),"")</f>
        <v/>
      </c>
      <c r="U14" s="541"/>
      <c r="V14" s="557" t="str">
        <f>IF(AND('Riesgos gestion'!$H$13="Alta",'Riesgos gestion'!$L$13="Moderado"),CONCATENATE("R",'Riesgos gestion'!$A$13),"")</f>
        <v/>
      </c>
      <c r="W14" s="558"/>
      <c r="X14" s="558" t="str">
        <f>IF(AND('Riesgos gestion'!$H$19="Alta",'Riesgos gestion'!$L$19="Moderado"),CONCATENATE("R",'Riesgos gestion'!$A$19),"")</f>
        <v/>
      </c>
      <c r="Y14" s="558"/>
      <c r="Z14" s="558" t="str">
        <f>IF(AND('Riesgos gestion'!$H$25="Alta",'Riesgos gestion'!$L$25="Moderado"),CONCATENATE("R",'Riesgos gestion'!$A$25),"")</f>
        <v/>
      </c>
      <c r="AA14" s="559"/>
      <c r="AB14" s="557" t="str">
        <f>IF(AND('Riesgos gestion'!$H$13="Alta",'Riesgos gestion'!$L$13="Mayor"),CONCATENATE("R",'Riesgos gestion'!$A$13),"")</f>
        <v/>
      </c>
      <c r="AC14" s="558"/>
      <c r="AD14" s="558" t="str">
        <f>IF(AND('Riesgos gestion'!$H$19="Alta",'Riesgos gestion'!$L$19="Mayor"),CONCATENATE("R",'Riesgos gestion'!$A$19),"")</f>
        <v/>
      </c>
      <c r="AE14" s="558"/>
      <c r="AF14" s="558" t="str">
        <f>IF(AND('Riesgos gestion'!$H$25="Alta",'Riesgos gestion'!$L$25="Mayor"),CONCATENATE("R",'Riesgos gestion'!$A$25),"")</f>
        <v/>
      </c>
      <c r="AG14" s="559"/>
      <c r="AH14" s="548" t="str">
        <f>IF(AND('Riesgos gestion'!$H$13="Alta",'Riesgos gestion'!$L$13="Catastrófico"),CONCATENATE("R",'Riesgos gestion'!$A$13),"")</f>
        <v/>
      </c>
      <c r="AI14" s="549"/>
      <c r="AJ14" s="549" t="str">
        <f>IF(AND('Riesgos gestion'!$H$19="Alta",'Riesgos gestion'!$L$19="Catastrófico"),CONCATENATE("R",'Riesgos gestion'!$A$19),"")</f>
        <v/>
      </c>
      <c r="AK14" s="549"/>
      <c r="AL14" s="549" t="str">
        <f>IF(AND('Riesgos gestion'!$H$25="Alta",'Riesgos gestion'!$L$25="Catastrófico"),CONCATENATE("R",'Riesgos gestion'!$A$25),"")</f>
        <v/>
      </c>
      <c r="AM14" s="550"/>
      <c r="AN14" s="83"/>
      <c r="AO14" s="582" t="s">
        <v>319</v>
      </c>
      <c r="AP14" s="583"/>
      <c r="AQ14" s="583"/>
      <c r="AR14" s="583"/>
      <c r="AS14" s="583"/>
      <c r="AT14" s="58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3">
      <c r="A15" s="83"/>
      <c r="B15" s="571"/>
      <c r="C15" s="571"/>
      <c r="D15" s="572"/>
      <c r="E15" s="564"/>
      <c r="F15" s="565"/>
      <c r="G15" s="565"/>
      <c r="H15" s="565"/>
      <c r="I15" s="565"/>
      <c r="J15" s="533"/>
      <c r="K15" s="534"/>
      <c r="L15" s="534"/>
      <c r="M15" s="534"/>
      <c r="N15" s="534"/>
      <c r="O15" s="535"/>
      <c r="P15" s="533"/>
      <c r="Q15" s="534"/>
      <c r="R15" s="534"/>
      <c r="S15" s="534"/>
      <c r="T15" s="534"/>
      <c r="U15" s="535"/>
      <c r="V15" s="551"/>
      <c r="W15" s="552"/>
      <c r="X15" s="552"/>
      <c r="Y15" s="552"/>
      <c r="Z15" s="552"/>
      <c r="AA15" s="553"/>
      <c r="AB15" s="551"/>
      <c r="AC15" s="552"/>
      <c r="AD15" s="552"/>
      <c r="AE15" s="552"/>
      <c r="AF15" s="552"/>
      <c r="AG15" s="553"/>
      <c r="AH15" s="542"/>
      <c r="AI15" s="543"/>
      <c r="AJ15" s="543"/>
      <c r="AK15" s="543"/>
      <c r="AL15" s="543"/>
      <c r="AM15" s="544"/>
      <c r="AN15" s="83"/>
      <c r="AO15" s="585"/>
      <c r="AP15" s="586"/>
      <c r="AQ15" s="586"/>
      <c r="AR15" s="586"/>
      <c r="AS15" s="586"/>
      <c r="AT15" s="58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3">
      <c r="A16" s="83"/>
      <c r="B16" s="571"/>
      <c r="C16" s="571"/>
      <c r="D16" s="572"/>
      <c r="E16" s="564"/>
      <c r="F16" s="565"/>
      <c r="G16" s="565"/>
      <c r="H16" s="565"/>
      <c r="I16" s="565"/>
      <c r="J16" s="533" t="str">
        <f>IF(AND('Riesgos gestion'!$H$31="Alta",'Riesgos gestion'!$L$31="Leve"),CONCATENATE("R",'Riesgos gestion'!$A$31),"")</f>
        <v/>
      </c>
      <c r="K16" s="534"/>
      <c r="L16" s="534" t="str">
        <f>IF(AND('Riesgos gestion'!$H$37="Alta",'Riesgos gestion'!$L$37="Leve"),CONCATENATE("R",'Riesgos gestion'!$A$37),"")</f>
        <v/>
      </c>
      <c r="M16" s="534"/>
      <c r="N16" s="534" t="str">
        <f>IF(AND('Riesgos gestion'!$H$43="Alta",'Riesgos gestion'!$L$43="Leve"),CONCATENATE("R",'Riesgos gestion'!$A$43),"")</f>
        <v/>
      </c>
      <c r="O16" s="535"/>
      <c r="P16" s="533" t="str">
        <f>IF(AND('Riesgos gestion'!$H$31="Alta",'Riesgos gestion'!$L$31="Menor"),CONCATENATE("R",'Riesgos gestion'!$A$31),"")</f>
        <v/>
      </c>
      <c r="Q16" s="534"/>
      <c r="R16" s="534" t="str">
        <f>IF(AND('Riesgos gestion'!$H$37="Alta",'Riesgos gestion'!$L$37="Menor"),CONCATENATE("R",'Riesgos gestion'!$A$37),"")</f>
        <v/>
      </c>
      <c r="S16" s="534"/>
      <c r="T16" s="534" t="str">
        <f>IF(AND('Riesgos gestion'!$H$43="Alta",'Riesgos gestion'!$L$43="Menor"),CONCATENATE("R",'Riesgos gestion'!$A$43),"")</f>
        <v/>
      </c>
      <c r="U16" s="535"/>
      <c r="V16" s="551" t="str">
        <f>IF(AND('Riesgos gestion'!$H$31="Alta",'Riesgos gestion'!$L$31="Moderado"),CONCATENATE("R",'Riesgos gestion'!$A$31),"")</f>
        <v/>
      </c>
      <c r="W16" s="552"/>
      <c r="X16" s="552" t="str">
        <f>IF(AND('Riesgos gestion'!$H$37="Alta",'Riesgos gestion'!$L$37="Moderado"),CONCATENATE("R",'Riesgos gestion'!$A$37),"")</f>
        <v/>
      </c>
      <c r="Y16" s="552"/>
      <c r="Z16" s="552" t="str">
        <f>IF(AND('Riesgos gestion'!$H$43="Alta",'Riesgos gestion'!$L$43="Moderado"),CONCATENATE("R",'Riesgos gestion'!$A$43),"")</f>
        <v/>
      </c>
      <c r="AA16" s="553"/>
      <c r="AB16" s="551" t="str">
        <f>IF(AND('Riesgos gestion'!$H$31="Alta",'Riesgos gestion'!$L$31="Mayor"),CONCATENATE("R",'Riesgos gestion'!$A$31),"")</f>
        <v/>
      </c>
      <c r="AC16" s="552"/>
      <c r="AD16" s="552" t="str">
        <f>IF(AND('Riesgos gestion'!$H$37="Alta",'Riesgos gestion'!$L$37="Mayor"),CONCATENATE("R",'Riesgos gestion'!$A$37),"")</f>
        <v/>
      </c>
      <c r="AE16" s="552"/>
      <c r="AF16" s="552" t="str">
        <f>IF(AND('Riesgos gestion'!$H$43="Alta",'Riesgos gestion'!$L$43="Mayor"),CONCATENATE("R",'Riesgos gestion'!$A$43),"")</f>
        <v/>
      </c>
      <c r="AG16" s="553"/>
      <c r="AH16" s="542" t="str">
        <f>IF(AND('Riesgos gestion'!$H$31="Alta",'Riesgos gestion'!$L$31="Catastrófico"),CONCATENATE("R",'Riesgos gestion'!$A$31),"")</f>
        <v/>
      </c>
      <c r="AI16" s="543"/>
      <c r="AJ16" s="543" t="str">
        <f>IF(AND('Riesgos gestion'!$H$37="Alta",'Riesgos gestion'!$L$37="Catastrófico"),CONCATENATE("R",'Riesgos gestion'!$A$37),"")</f>
        <v/>
      </c>
      <c r="AK16" s="543"/>
      <c r="AL16" s="543" t="str">
        <f>IF(AND('Riesgos gestion'!$H$43="Alta",'Riesgos gestion'!$L$43="Catastrófico"),CONCATENATE("R",'Riesgos gestion'!$A$43),"")</f>
        <v/>
      </c>
      <c r="AM16" s="544"/>
      <c r="AN16" s="83"/>
      <c r="AO16" s="585"/>
      <c r="AP16" s="586"/>
      <c r="AQ16" s="586"/>
      <c r="AR16" s="586"/>
      <c r="AS16" s="586"/>
      <c r="AT16" s="587"/>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3">
      <c r="A17" s="83"/>
      <c r="B17" s="571"/>
      <c r="C17" s="571"/>
      <c r="D17" s="572"/>
      <c r="E17" s="564"/>
      <c r="F17" s="565"/>
      <c r="G17" s="565"/>
      <c r="H17" s="565"/>
      <c r="I17" s="565"/>
      <c r="J17" s="533"/>
      <c r="K17" s="534"/>
      <c r="L17" s="534"/>
      <c r="M17" s="534"/>
      <c r="N17" s="534"/>
      <c r="O17" s="535"/>
      <c r="P17" s="533"/>
      <c r="Q17" s="534"/>
      <c r="R17" s="534"/>
      <c r="S17" s="534"/>
      <c r="T17" s="534"/>
      <c r="U17" s="535"/>
      <c r="V17" s="551"/>
      <c r="W17" s="552"/>
      <c r="X17" s="552"/>
      <c r="Y17" s="552"/>
      <c r="Z17" s="552"/>
      <c r="AA17" s="553"/>
      <c r="AB17" s="551"/>
      <c r="AC17" s="552"/>
      <c r="AD17" s="552"/>
      <c r="AE17" s="552"/>
      <c r="AF17" s="552"/>
      <c r="AG17" s="553"/>
      <c r="AH17" s="542"/>
      <c r="AI17" s="543"/>
      <c r="AJ17" s="543"/>
      <c r="AK17" s="543"/>
      <c r="AL17" s="543"/>
      <c r="AM17" s="544"/>
      <c r="AN17" s="83"/>
      <c r="AO17" s="585"/>
      <c r="AP17" s="586"/>
      <c r="AQ17" s="586"/>
      <c r="AR17" s="586"/>
      <c r="AS17" s="586"/>
      <c r="AT17" s="58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3">
      <c r="A18" s="83"/>
      <c r="B18" s="571"/>
      <c r="C18" s="571"/>
      <c r="D18" s="572"/>
      <c r="E18" s="564"/>
      <c r="F18" s="565"/>
      <c r="G18" s="565"/>
      <c r="H18" s="565"/>
      <c r="I18" s="565"/>
      <c r="J18" s="533" t="str">
        <f>IF(AND('Riesgos gestion'!$H$49="Alta",'Riesgos gestion'!$L$49="Leve"),CONCATENATE("R",'Riesgos gestion'!$A$49),"")</f>
        <v/>
      </c>
      <c r="K18" s="534"/>
      <c r="L18" s="534" t="str">
        <f>IF(AND('Riesgos gestion'!$H$55="Alta",'Riesgos gestion'!$L$55="Leve"),CONCATENATE("R",'Riesgos gestion'!$A$55),"")</f>
        <v/>
      </c>
      <c r="M18" s="534"/>
      <c r="N18" s="534" t="str">
        <f>IF(AND('Riesgos gestion'!$H$61="Alta",'Riesgos gestion'!$L$61="Leve"),CONCATENATE("R",'Riesgos gestion'!$A$61),"")</f>
        <v/>
      </c>
      <c r="O18" s="535"/>
      <c r="P18" s="533" t="str">
        <f>IF(AND('Riesgos gestion'!$H$49="Alta",'Riesgos gestion'!$L$49="Menor"),CONCATENATE("R",'Riesgos gestion'!$A$49),"")</f>
        <v/>
      </c>
      <c r="Q18" s="534"/>
      <c r="R18" s="534" t="str">
        <f>IF(AND('Riesgos gestion'!$H$55="Alta",'Riesgos gestion'!$L$55="Menor"),CONCATENATE("R",'Riesgos gestion'!$A$55),"")</f>
        <v/>
      </c>
      <c r="S18" s="534"/>
      <c r="T18" s="534" t="str">
        <f>IF(AND('Riesgos gestion'!$H$61="Alta",'Riesgos gestion'!$L$61="Menor"),CONCATENATE("R",'Riesgos gestion'!$A$61),"")</f>
        <v/>
      </c>
      <c r="U18" s="535"/>
      <c r="V18" s="551" t="str">
        <f>IF(AND('Riesgos gestion'!$H$49="Alta",'Riesgos gestion'!$L$49="Moderado"),CONCATENATE("R",'Riesgos gestion'!$A$49),"")</f>
        <v/>
      </c>
      <c r="W18" s="552"/>
      <c r="X18" s="552" t="str">
        <f>IF(AND('Riesgos gestion'!$H$55="Alta",'Riesgos gestion'!$L$55="Moderado"),CONCATENATE("R",'Riesgos gestion'!$A$55),"")</f>
        <v/>
      </c>
      <c r="Y18" s="552"/>
      <c r="Z18" s="552" t="str">
        <f>IF(AND('Riesgos gestion'!$H$61="Alta",'Riesgos gestion'!$L$61="Moderado"),CONCATENATE("R",'Riesgos gestion'!$A$61),"")</f>
        <v/>
      </c>
      <c r="AA18" s="553"/>
      <c r="AB18" s="551" t="str">
        <f>IF(AND('Riesgos gestion'!$H$49="Alta",'Riesgos gestion'!$L$49="Mayor"),CONCATENATE("R",'Riesgos gestion'!$A$49),"")</f>
        <v/>
      </c>
      <c r="AC18" s="552"/>
      <c r="AD18" s="552" t="str">
        <f>IF(AND('Riesgos gestion'!$H$55="Alta",'Riesgos gestion'!$L$55="Mayor"),CONCATENATE("R",'Riesgos gestion'!$A$55),"")</f>
        <v/>
      </c>
      <c r="AE18" s="552"/>
      <c r="AF18" s="552" t="str">
        <f>IF(AND('Riesgos gestion'!$H$61="Alta",'Riesgos gestion'!$L$61="Mayor"),CONCATENATE("R",'Riesgos gestion'!$A$61),"")</f>
        <v/>
      </c>
      <c r="AG18" s="553"/>
      <c r="AH18" s="542" t="str">
        <f>IF(AND('Riesgos gestion'!$H$49="Alta",'Riesgos gestion'!$L$49="Catastrófico"),CONCATENATE("R",'Riesgos gestion'!$A$49),"")</f>
        <v/>
      </c>
      <c r="AI18" s="543"/>
      <c r="AJ18" s="543" t="str">
        <f>IF(AND('Riesgos gestion'!$H$55="Alta",'Riesgos gestion'!$L$55="Catastrófico"),CONCATENATE("R",'Riesgos gestion'!$A$55),"")</f>
        <v/>
      </c>
      <c r="AK18" s="543"/>
      <c r="AL18" s="543" t="str">
        <f>IF(AND('Riesgos gestion'!$H$61="Alta",'Riesgos gestion'!$L$61="Catastrófico"),CONCATENATE("R",'Riesgos gestion'!$A$61),"")</f>
        <v/>
      </c>
      <c r="AM18" s="544"/>
      <c r="AN18" s="83"/>
      <c r="AO18" s="585"/>
      <c r="AP18" s="586"/>
      <c r="AQ18" s="586"/>
      <c r="AR18" s="586"/>
      <c r="AS18" s="586"/>
      <c r="AT18" s="58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3">
      <c r="A19" s="83"/>
      <c r="B19" s="571"/>
      <c r="C19" s="571"/>
      <c r="D19" s="572"/>
      <c r="E19" s="564"/>
      <c r="F19" s="565"/>
      <c r="G19" s="565"/>
      <c r="H19" s="565"/>
      <c r="I19" s="565"/>
      <c r="J19" s="533"/>
      <c r="K19" s="534"/>
      <c r="L19" s="534"/>
      <c r="M19" s="534"/>
      <c r="N19" s="534"/>
      <c r="O19" s="535"/>
      <c r="P19" s="533"/>
      <c r="Q19" s="534"/>
      <c r="R19" s="534"/>
      <c r="S19" s="534"/>
      <c r="T19" s="534"/>
      <c r="U19" s="535"/>
      <c r="V19" s="551"/>
      <c r="W19" s="552"/>
      <c r="X19" s="552"/>
      <c r="Y19" s="552"/>
      <c r="Z19" s="552"/>
      <c r="AA19" s="553"/>
      <c r="AB19" s="551"/>
      <c r="AC19" s="552"/>
      <c r="AD19" s="552"/>
      <c r="AE19" s="552"/>
      <c r="AF19" s="552"/>
      <c r="AG19" s="553"/>
      <c r="AH19" s="542"/>
      <c r="AI19" s="543"/>
      <c r="AJ19" s="543"/>
      <c r="AK19" s="543"/>
      <c r="AL19" s="543"/>
      <c r="AM19" s="544"/>
      <c r="AN19" s="83"/>
      <c r="AO19" s="585"/>
      <c r="AP19" s="586"/>
      <c r="AQ19" s="586"/>
      <c r="AR19" s="586"/>
      <c r="AS19" s="586"/>
      <c r="AT19" s="58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3">
      <c r="A20" s="83"/>
      <c r="B20" s="571"/>
      <c r="C20" s="571"/>
      <c r="D20" s="572"/>
      <c r="E20" s="564"/>
      <c r="F20" s="565"/>
      <c r="G20" s="565"/>
      <c r="H20" s="565"/>
      <c r="I20" s="565"/>
      <c r="J20" s="533" t="str">
        <f>IF(AND('Riesgos gestion'!$H$67="Alta",'Riesgos gestion'!$L$67="Leve"),CONCATENATE("R",'Riesgos gestion'!$A$67),"")</f>
        <v/>
      </c>
      <c r="K20" s="534"/>
      <c r="L20" s="534" t="str">
        <f>IF(AND('Riesgos gestion'!$H$73="Alta",'Riesgos gestion'!$L$73="Leve"),CONCATENATE("R",'Riesgos gestion'!$A$73),"")</f>
        <v/>
      </c>
      <c r="M20" s="534"/>
      <c r="N20" s="534" t="str">
        <f>IF(AND('Riesgos gestion'!$H$79="Alta",'Riesgos gestion'!$L$79="Leve"),CONCATENATE("R",'Riesgos gestion'!$A$79),"")</f>
        <v/>
      </c>
      <c r="O20" s="535"/>
      <c r="P20" s="533" t="str">
        <f>IF(AND('Riesgos gestion'!$H$67="Alta",'Riesgos gestion'!$L$67="Menor"),CONCATENATE("R",'Riesgos gestion'!$A$67),"")</f>
        <v/>
      </c>
      <c r="Q20" s="534"/>
      <c r="R20" s="534" t="str">
        <f>IF(AND('Riesgos gestion'!$H$73="Alta",'Riesgos gestion'!$L$73="Menor"),CONCATENATE("R",'Riesgos gestion'!$A$73),"")</f>
        <v/>
      </c>
      <c r="S20" s="534"/>
      <c r="T20" s="534" t="str">
        <f>IF(AND('Riesgos gestion'!$H$79="Alta",'Riesgos gestion'!$L$79="Menor"),CONCATENATE("R",'Riesgos gestion'!$A$79),"")</f>
        <v/>
      </c>
      <c r="U20" s="535"/>
      <c r="V20" s="551" t="str">
        <f>IF(AND('Riesgos gestion'!$H$67="Alta",'Riesgos gestion'!$L$67="Moderado"),CONCATENATE("R",'Riesgos gestion'!$A$67),"")</f>
        <v/>
      </c>
      <c r="W20" s="552"/>
      <c r="X20" s="552" t="str">
        <f>IF(AND('Riesgos gestion'!$H$73="Alta",'Riesgos gestion'!$L$73="Moderado"),CONCATENATE("R",'Riesgos gestion'!$A$73),"")</f>
        <v/>
      </c>
      <c r="Y20" s="552"/>
      <c r="Z20" s="552" t="str">
        <f>IF(AND('Riesgos gestion'!$H$79="Alta",'Riesgos gestion'!$L$79="Moderado"),CONCATENATE("R",'Riesgos gestion'!$A$79),"")</f>
        <v/>
      </c>
      <c r="AA20" s="553"/>
      <c r="AB20" s="551" t="str">
        <f>IF(AND('Riesgos gestion'!$H$67="Alta",'Riesgos gestion'!$L$67="Mayor"),CONCATENATE("R",'Riesgos gestion'!$A$67),"")</f>
        <v/>
      </c>
      <c r="AC20" s="552"/>
      <c r="AD20" s="552" t="str">
        <f>IF(AND('Riesgos gestion'!$H$73="Alta",'Riesgos gestion'!$L$73="Mayor"),CONCATENATE("R",'Riesgos gestion'!$A$73),"")</f>
        <v/>
      </c>
      <c r="AE20" s="552"/>
      <c r="AF20" s="552" t="str">
        <f>IF(AND('Riesgos gestion'!$H$79="Alta",'Riesgos gestion'!$L$79="Mayor"),CONCATENATE("R",'Riesgos gestion'!$A$79),"")</f>
        <v/>
      </c>
      <c r="AG20" s="553"/>
      <c r="AH20" s="542" t="str">
        <f>IF(AND('Riesgos gestion'!$H$67="Alta",'Riesgos gestion'!$L$67="Catastrófico"),CONCATENATE("R",'Riesgos gestion'!$A$67),"")</f>
        <v/>
      </c>
      <c r="AI20" s="543"/>
      <c r="AJ20" s="543" t="str">
        <f>IF(AND('Riesgos gestion'!$H$73="Alta",'Riesgos gestion'!$L$73="Catastrófico"),CONCATENATE("R",'Riesgos gestion'!$A$73),"")</f>
        <v/>
      </c>
      <c r="AK20" s="543"/>
      <c r="AL20" s="543" t="str">
        <f>IF(AND('Riesgos gestion'!$H$79="Alta",'Riesgos gestion'!$L$79="Catastrófico"),CONCATENATE("R",'Riesgos gestion'!$A$79),"")</f>
        <v/>
      </c>
      <c r="AM20" s="544"/>
      <c r="AN20" s="83"/>
      <c r="AO20" s="585"/>
      <c r="AP20" s="586"/>
      <c r="AQ20" s="586"/>
      <c r="AR20" s="586"/>
      <c r="AS20" s="586"/>
      <c r="AT20" s="58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5">
      <c r="A21" s="83"/>
      <c r="B21" s="571"/>
      <c r="C21" s="571"/>
      <c r="D21" s="572"/>
      <c r="E21" s="567"/>
      <c r="F21" s="568"/>
      <c r="G21" s="568"/>
      <c r="H21" s="568"/>
      <c r="I21" s="568"/>
      <c r="J21" s="536"/>
      <c r="K21" s="537"/>
      <c r="L21" s="537"/>
      <c r="M21" s="537"/>
      <c r="N21" s="537"/>
      <c r="O21" s="538"/>
      <c r="P21" s="536"/>
      <c r="Q21" s="537"/>
      <c r="R21" s="537"/>
      <c r="S21" s="537"/>
      <c r="T21" s="537"/>
      <c r="U21" s="538"/>
      <c r="V21" s="554"/>
      <c r="W21" s="555"/>
      <c r="X21" s="555"/>
      <c r="Y21" s="555"/>
      <c r="Z21" s="555"/>
      <c r="AA21" s="556"/>
      <c r="AB21" s="554"/>
      <c r="AC21" s="555"/>
      <c r="AD21" s="555"/>
      <c r="AE21" s="555"/>
      <c r="AF21" s="555"/>
      <c r="AG21" s="556"/>
      <c r="AH21" s="545"/>
      <c r="AI21" s="546"/>
      <c r="AJ21" s="546"/>
      <c r="AK21" s="546"/>
      <c r="AL21" s="546"/>
      <c r="AM21" s="547"/>
      <c r="AN21" s="83"/>
      <c r="AO21" s="588"/>
      <c r="AP21" s="589"/>
      <c r="AQ21" s="589"/>
      <c r="AR21" s="589"/>
      <c r="AS21" s="589"/>
      <c r="AT21" s="590"/>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3">
      <c r="A22" s="83"/>
      <c r="B22" s="571"/>
      <c r="C22" s="571"/>
      <c r="D22" s="572"/>
      <c r="E22" s="561" t="s">
        <v>320</v>
      </c>
      <c r="F22" s="562"/>
      <c r="G22" s="562"/>
      <c r="H22" s="562"/>
      <c r="I22" s="563"/>
      <c r="J22" s="539" t="str">
        <f>IF(AND('Riesgos gestion'!$H$13="Media",'Riesgos gestion'!$L$13="Leve"),CONCATENATE("R",'Riesgos gestion'!$A$13),"")</f>
        <v/>
      </c>
      <c r="K22" s="540"/>
      <c r="L22" s="540" t="str">
        <f>IF(AND('Riesgos gestion'!$H$19="Media",'Riesgos gestion'!$L$19="Leve"),CONCATENATE("R",'Riesgos gestion'!$A$19),"")</f>
        <v/>
      </c>
      <c r="M22" s="540"/>
      <c r="N22" s="540" t="str">
        <f>IF(AND('Riesgos gestion'!$H$25="Media",'Riesgos gestion'!$L$25="Leve"),CONCATENATE("R",'Riesgos gestion'!$A$25),"")</f>
        <v/>
      </c>
      <c r="O22" s="541"/>
      <c r="P22" s="539" t="str">
        <f>IF(AND('Riesgos gestion'!$H$13="Media",'Riesgos gestion'!$L$13="Menor"),CONCATENATE("R",'Riesgos gestion'!$A$13),"")</f>
        <v/>
      </c>
      <c r="Q22" s="540"/>
      <c r="R22" s="540" t="str">
        <f>IF(AND('Riesgos gestion'!$H$19="Media",'Riesgos gestion'!$L$19="Menor"),CONCATENATE("R",'Riesgos gestion'!$A$19),"")</f>
        <v/>
      </c>
      <c r="S22" s="540"/>
      <c r="T22" s="540" t="str">
        <f>IF(AND('Riesgos gestion'!$H$25="Media",'Riesgos gestion'!$L$25="Menor"),CONCATENATE("R",'Riesgos gestion'!$A$25),"")</f>
        <v/>
      </c>
      <c r="U22" s="541"/>
      <c r="V22" s="539" t="str">
        <f>IF(AND('Riesgos gestion'!$H$13="Media",'Riesgos gestion'!$L$13="Moderado"),CONCATENATE("R",'Riesgos gestion'!$A$13),"")</f>
        <v/>
      </c>
      <c r="W22" s="540"/>
      <c r="X22" s="540" t="str">
        <f>IF(AND('Riesgos gestion'!$H$19="Media",'Riesgos gestion'!$L$19="Moderado"),CONCATENATE("R",'Riesgos gestion'!$A$19),"")</f>
        <v/>
      </c>
      <c r="Y22" s="540"/>
      <c r="Z22" s="540" t="str">
        <f>IF(AND('Riesgos gestion'!$H$25="Media",'Riesgos gestion'!$L$25="Moderado"),CONCATENATE("R",'Riesgos gestion'!$A$25),"")</f>
        <v/>
      </c>
      <c r="AA22" s="541"/>
      <c r="AB22" s="557" t="str">
        <f>IF(AND('Riesgos gestion'!$H$13="Media",'Riesgos gestion'!$L$13="Mayor"),CONCATENATE("R",'Riesgos gestion'!$A$13),"")</f>
        <v/>
      </c>
      <c r="AC22" s="558"/>
      <c r="AD22" s="558" t="str">
        <f>IF(AND('Riesgos gestion'!$H$19="Media",'Riesgos gestion'!$L$19="Mayor"),CONCATENATE("R",'Riesgos gestion'!$A$19),"")</f>
        <v/>
      </c>
      <c r="AE22" s="558"/>
      <c r="AF22" s="558" t="str">
        <f>IF(AND('Riesgos gestion'!$H$25="Media",'Riesgos gestion'!$L$25="Mayor"),CONCATENATE("R",'Riesgos gestion'!$A$25),"")</f>
        <v/>
      </c>
      <c r="AG22" s="559"/>
      <c r="AH22" s="548" t="str">
        <f>IF(AND('Riesgos gestion'!$H$13="Media",'Riesgos gestion'!$L$13="Catastrófico"),CONCATENATE("R",'Riesgos gestion'!$A$13),"")</f>
        <v/>
      </c>
      <c r="AI22" s="549"/>
      <c r="AJ22" s="549" t="str">
        <f>IF(AND('Riesgos gestion'!$H$19="Media",'Riesgos gestion'!$L$19="Catastrófico"),CONCATENATE("R",'Riesgos gestion'!$A$19),"")</f>
        <v/>
      </c>
      <c r="AK22" s="549"/>
      <c r="AL22" s="549" t="str">
        <f>IF(AND('Riesgos gestion'!$H$25="Media",'Riesgos gestion'!$L$25="Catastrófico"),CONCATENATE("R",'Riesgos gestion'!$A$25),"")</f>
        <v/>
      </c>
      <c r="AM22" s="550"/>
      <c r="AN22" s="83"/>
      <c r="AO22" s="591" t="s">
        <v>321</v>
      </c>
      <c r="AP22" s="592"/>
      <c r="AQ22" s="592"/>
      <c r="AR22" s="592"/>
      <c r="AS22" s="592"/>
      <c r="AT22" s="59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3">
      <c r="A23" s="83"/>
      <c r="B23" s="571"/>
      <c r="C23" s="571"/>
      <c r="D23" s="572"/>
      <c r="E23" s="564"/>
      <c r="F23" s="565"/>
      <c r="G23" s="565"/>
      <c r="H23" s="565"/>
      <c r="I23" s="566"/>
      <c r="J23" s="533"/>
      <c r="K23" s="534"/>
      <c r="L23" s="534"/>
      <c r="M23" s="534"/>
      <c r="N23" s="534"/>
      <c r="O23" s="535"/>
      <c r="P23" s="533"/>
      <c r="Q23" s="534"/>
      <c r="R23" s="534"/>
      <c r="S23" s="534"/>
      <c r="T23" s="534"/>
      <c r="U23" s="535"/>
      <c r="V23" s="533"/>
      <c r="W23" s="534"/>
      <c r="X23" s="534"/>
      <c r="Y23" s="534"/>
      <c r="Z23" s="534"/>
      <c r="AA23" s="535"/>
      <c r="AB23" s="551"/>
      <c r="AC23" s="552"/>
      <c r="AD23" s="552"/>
      <c r="AE23" s="552"/>
      <c r="AF23" s="552"/>
      <c r="AG23" s="553"/>
      <c r="AH23" s="542"/>
      <c r="AI23" s="543"/>
      <c r="AJ23" s="543"/>
      <c r="AK23" s="543"/>
      <c r="AL23" s="543"/>
      <c r="AM23" s="544"/>
      <c r="AN23" s="83"/>
      <c r="AO23" s="594"/>
      <c r="AP23" s="595"/>
      <c r="AQ23" s="595"/>
      <c r="AR23" s="595"/>
      <c r="AS23" s="595"/>
      <c r="AT23" s="596"/>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3">
      <c r="A24" s="83"/>
      <c r="B24" s="571"/>
      <c r="C24" s="571"/>
      <c r="D24" s="572"/>
      <c r="E24" s="564"/>
      <c r="F24" s="565"/>
      <c r="G24" s="565"/>
      <c r="H24" s="565"/>
      <c r="I24" s="566"/>
      <c r="J24" s="533" t="str">
        <f>IF(AND('Riesgos gestion'!$H$31="Media",'Riesgos gestion'!$L$31="Leve"),CONCATENATE("R",'Riesgos gestion'!$A$31),"")</f>
        <v/>
      </c>
      <c r="K24" s="534"/>
      <c r="L24" s="534" t="str">
        <f>IF(AND('Riesgos gestion'!$H$37="Media",'Riesgos gestion'!$L$37="Leve"),CONCATENATE("R",'Riesgos gestion'!$A$37),"")</f>
        <v/>
      </c>
      <c r="M24" s="534"/>
      <c r="N24" s="534" t="str">
        <f>IF(AND('Riesgos gestion'!$H$43="Media",'Riesgos gestion'!$L$43="Leve"),CONCATENATE("R",'Riesgos gestion'!$A$43),"")</f>
        <v/>
      </c>
      <c r="O24" s="535"/>
      <c r="P24" s="533" t="str">
        <f>IF(AND('Riesgos gestion'!$H$31="Media",'Riesgos gestion'!$L$31="Menor"),CONCATENATE("R",'Riesgos gestion'!$A$31),"")</f>
        <v/>
      </c>
      <c r="Q24" s="534"/>
      <c r="R24" s="534" t="str">
        <f>IF(AND('Riesgos gestion'!$H$37="Media",'Riesgos gestion'!$L$37="Menor"),CONCATENATE("R",'Riesgos gestion'!$A$37),"")</f>
        <v/>
      </c>
      <c r="S24" s="534"/>
      <c r="T24" s="534" t="str">
        <f>IF(AND('Riesgos gestion'!$H$43="Media",'Riesgos gestion'!$L$43="Menor"),CONCATENATE("R",'Riesgos gestion'!$A$43),"")</f>
        <v/>
      </c>
      <c r="U24" s="535"/>
      <c r="V24" s="533" t="str">
        <f>IF(AND('Riesgos gestion'!$H$31="Media",'Riesgos gestion'!$L$31="Moderado"),CONCATENATE("R",'Riesgos gestion'!$A$31),"")</f>
        <v/>
      </c>
      <c r="W24" s="534"/>
      <c r="X24" s="534" t="str">
        <f>IF(AND('Riesgos gestion'!$H$37="Media",'Riesgos gestion'!$L$37="Moderado"),CONCATENATE("R",'Riesgos gestion'!$A$37),"")</f>
        <v/>
      </c>
      <c r="Y24" s="534"/>
      <c r="Z24" s="534" t="str">
        <f>IF(AND('Riesgos gestion'!$H$43="Media",'Riesgos gestion'!$L$43="Moderado"),CONCATENATE("R",'Riesgos gestion'!$A$43),"")</f>
        <v/>
      </c>
      <c r="AA24" s="535"/>
      <c r="AB24" s="551" t="str">
        <f>IF(AND('Riesgos gestion'!$H$31="Media",'Riesgos gestion'!$L$31="Mayor"),CONCATENATE("R",'Riesgos gestion'!$A$31),"")</f>
        <v/>
      </c>
      <c r="AC24" s="552"/>
      <c r="AD24" s="552" t="str">
        <f>IF(AND('Riesgos gestion'!$H$37="Media",'Riesgos gestion'!$L$37="Mayor"),CONCATENATE("R",'Riesgos gestion'!$A$37),"")</f>
        <v/>
      </c>
      <c r="AE24" s="552"/>
      <c r="AF24" s="552" t="str">
        <f>IF(AND('Riesgos gestion'!$H$43="Media",'Riesgos gestion'!$L$43="Mayor"),CONCATENATE("R",'Riesgos gestion'!$A$43),"")</f>
        <v/>
      </c>
      <c r="AG24" s="553"/>
      <c r="AH24" s="542" t="str">
        <f>IF(AND('Riesgos gestion'!$H$31="Media",'Riesgos gestion'!$L$31="Catastrófico"),CONCATENATE("R",'Riesgos gestion'!$A$31),"")</f>
        <v/>
      </c>
      <c r="AI24" s="543"/>
      <c r="AJ24" s="543" t="str">
        <f>IF(AND('Riesgos gestion'!$H$37="Media",'Riesgos gestion'!$L$37="Catastrófico"),CONCATENATE("R",'Riesgos gestion'!$A$37),"")</f>
        <v/>
      </c>
      <c r="AK24" s="543"/>
      <c r="AL24" s="543" t="str">
        <f>IF(AND('Riesgos gestion'!$H$43="Media",'Riesgos gestion'!$L$43="Catastrófico"),CONCATENATE("R",'Riesgos gestion'!$A$43),"")</f>
        <v/>
      </c>
      <c r="AM24" s="544"/>
      <c r="AN24" s="83"/>
      <c r="AO24" s="594"/>
      <c r="AP24" s="595"/>
      <c r="AQ24" s="595"/>
      <c r="AR24" s="595"/>
      <c r="AS24" s="595"/>
      <c r="AT24" s="596"/>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3">
      <c r="A25" s="83"/>
      <c r="B25" s="571"/>
      <c r="C25" s="571"/>
      <c r="D25" s="572"/>
      <c r="E25" s="564"/>
      <c r="F25" s="565"/>
      <c r="G25" s="565"/>
      <c r="H25" s="565"/>
      <c r="I25" s="566"/>
      <c r="J25" s="533"/>
      <c r="K25" s="534"/>
      <c r="L25" s="534"/>
      <c r="M25" s="534"/>
      <c r="N25" s="534"/>
      <c r="O25" s="535"/>
      <c r="P25" s="533"/>
      <c r="Q25" s="534"/>
      <c r="R25" s="534"/>
      <c r="S25" s="534"/>
      <c r="T25" s="534"/>
      <c r="U25" s="535"/>
      <c r="V25" s="533"/>
      <c r="W25" s="534"/>
      <c r="X25" s="534"/>
      <c r="Y25" s="534"/>
      <c r="Z25" s="534"/>
      <c r="AA25" s="535"/>
      <c r="AB25" s="551"/>
      <c r="AC25" s="552"/>
      <c r="AD25" s="552"/>
      <c r="AE25" s="552"/>
      <c r="AF25" s="552"/>
      <c r="AG25" s="553"/>
      <c r="AH25" s="542"/>
      <c r="AI25" s="543"/>
      <c r="AJ25" s="543"/>
      <c r="AK25" s="543"/>
      <c r="AL25" s="543"/>
      <c r="AM25" s="544"/>
      <c r="AN25" s="83"/>
      <c r="AO25" s="594"/>
      <c r="AP25" s="595"/>
      <c r="AQ25" s="595"/>
      <c r="AR25" s="595"/>
      <c r="AS25" s="595"/>
      <c r="AT25" s="596"/>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3">
      <c r="A26" s="83"/>
      <c r="B26" s="571"/>
      <c r="C26" s="571"/>
      <c r="D26" s="572"/>
      <c r="E26" s="564"/>
      <c r="F26" s="565"/>
      <c r="G26" s="565"/>
      <c r="H26" s="565"/>
      <c r="I26" s="566"/>
      <c r="J26" s="533" t="str">
        <f>IF(AND('Riesgos gestion'!$H$49="Media",'Riesgos gestion'!$L$49="Leve"),CONCATENATE("R",'Riesgos gestion'!$A$49),"")</f>
        <v/>
      </c>
      <c r="K26" s="534"/>
      <c r="L26" s="534" t="str">
        <f>IF(AND('Riesgos gestion'!$H$55="Media",'Riesgos gestion'!$L$55="Leve"),CONCATENATE("R",'Riesgos gestion'!$A$55),"")</f>
        <v/>
      </c>
      <c r="M26" s="534"/>
      <c r="N26" s="534" t="str">
        <f>IF(AND('Riesgos gestion'!$H$61="Media",'Riesgos gestion'!$L$61="Leve"),CONCATENATE("R",'Riesgos gestion'!$A$61),"")</f>
        <v/>
      </c>
      <c r="O26" s="535"/>
      <c r="P26" s="533" t="str">
        <f>IF(AND('Riesgos gestion'!$H$49="Media",'Riesgos gestion'!$L$49="Menor"),CONCATENATE("R",'Riesgos gestion'!$A$49),"")</f>
        <v/>
      </c>
      <c r="Q26" s="534"/>
      <c r="R26" s="534" t="str">
        <f>IF(AND('Riesgos gestion'!$H$55="Media",'Riesgos gestion'!$L$55="Menor"),CONCATENATE("R",'Riesgos gestion'!$A$55),"")</f>
        <v/>
      </c>
      <c r="S26" s="534"/>
      <c r="T26" s="534" t="str">
        <f>IF(AND('Riesgos gestion'!$H$61="Media",'Riesgos gestion'!$L$61="Menor"),CONCATENATE("R",'Riesgos gestion'!$A$61),"")</f>
        <v/>
      </c>
      <c r="U26" s="535"/>
      <c r="V26" s="533" t="str">
        <f>IF(AND('Riesgos gestion'!$H$49="Media",'Riesgos gestion'!$L$49="Moderado"),CONCATENATE("R",'Riesgos gestion'!$A$49),"")</f>
        <v/>
      </c>
      <c r="W26" s="534"/>
      <c r="X26" s="534" t="str">
        <f>IF(AND('Riesgos gestion'!$H$55="Media",'Riesgos gestion'!$L$55="Moderado"),CONCATENATE("R",'Riesgos gestion'!$A$55),"")</f>
        <v/>
      </c>
      <c r="Y26" s="534"/>
      <c r="Z26" s="534" t="str">
        <f>IF(AND('Riesgos gestion'!$H$61="Media",'Riesgos gestion'!$L$61="Moderado"),CONCATENATE("R",'Riesgos gestion'!$A$61),"")</f>
        <v/>
      </c>
      <c r="AA26" s="535"/>
      <c r="AB26" s="551" t="str">
        <f>IF(AND('Riesgos gestion'!$H$49="Media",'Riesgos gestion'!$L$49="Mayor"),CONCATENATE("R",'Riesgos gestion'!$A$49),"")</f>
        <v/>
      </c>
      <c r="AC26" s="552"/>
      <c r="AD26" s="552" t="str">
        <f>IF(AND('Riesgos gestion'!$H$55="Media",'Riesgos gestion'!$L$55="Mayor"),CONCATENATE("R",'Riesgos gestion'!$A$55),"")</f>
        <v/>
      </c>
      <c r="AE26" s="552"/>
      <c r="AF26" s="552" t="str">
        <f>IF(AND('Riesgos gestion'!$H$61="Media",'Riesgos gestion'!$L$61="Mayor"),CONCATENATE("R",'Riesgos gestion'!$A$61),"")</f>
        <v/>
      </c>
      <c r="AG26" s="553"/>
      <c r="AH26" s="542" t="str">
        <f>IF(AND('Riesgos gestion'!$H$49="Media",'Riesgos gestion'!$L$49="Catastrófico"),CONCATENATE("R",'Riesgos gestion'!$A$49),"")</f>
        <v/>
      </c>
      <c r="AI26" s="543"/>
      <c r="AJ26" s="543" t="str">
        <f>IF(AND('Riesgos gestion'!$H$55="Media",'Riesgos gestion'!$L$55="Catastrófico"),CONCATENATE("R",'Riesgos gestion'!$A$55),"")</f>
        <v/>
      </c>
      <c r="AK26" s="543"/>
      <c r="AL26" s="543" t="str">
        <f>IF(AND('Riesgos gestion'!$H$61="Media",'Riesgos gestion'!$L$61="Catastrófico"),CONCATENATE("R",'Riesgos gestion'!$A$61),"")</f>
        <v/>
      </c>
      <c r="AM26" s="544"/>
      <c r="AN26" s="83"/>
      <c r="AO26" s="594"/>
      <c r="AP26" s="595"/>
      <c r="AQ26" s="595"/>
      <c r="AR26" s="595"/>
      <c r="AS26" s="595"/>
      <c r="AT26" s="596"/>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3">
      <c r="A27" s="83"/>
      <c r="B27" s="571"/>
      <c r="C27" s="571"/>
      <c r="D27" s="572"/>
      <c r="E27" s="564"/>
      <c r="F27" s="565"/>
      <c r="G27" s="565"/>
      <c r="H27" s="565"/>
      <c r="I27" s="566"/>
      <c r="J27" s="533"/>
      <c r="K27" s="534"/>
      <c r="L27" s="534"/>
      <c r="M27" s="534"/>
      <c r="N27" s="534"/>
      <c r="O27" s="535"/>
      <c r="P27" s="533"/>
      <c r="Q27" s="534"/>
      <c r="R27" s="534"/>
      <c r="S27" s="534"/>
      <c r="T27" s="534"/>
      <c r="U27" s="535"/>
      <c r="V27" s="533"/>
      <c r="W27" s="534"/>
      <c r="X27" s="534"/>
      <c r="Y27" s="534"/>
      <c r="Z27" s="534"/>
      <c r="AA27" s="535"/>
      <c r="AB27" s="551"/>
      <c r="AC27" s="552"/>
      <c r="AD27" s="552"/>
      <c r="AE27" s="552"/>
      <c r="AF27" s="552"/>
      <c r="AG27" s="553"/>
      <c r="AH27" s="542"/>
      <c r="AI27" s="543"/>
      <c r="AJ27" s="543"/>
      <c r="AK27" s="543"/>
      <c r="AL27" s="543"/>
      <c r="AM27" s="544"/>
      <c r="AN27" s="83"/>
      <c r="AO27" s="594"/>
      <c r="AP27" s="595"/>
      <c r="AQ27" s="595"/>
      <c r="AR27" s="595"/>
      <c r="AS27" s="595"/>
      <c r="AT27" s="59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3">
      <c r="A28" s="83"/>
      <c r="B28" s="571"/>
      <c r="C28" s="571"/>
      <c r="D28" s="572"/>
      <c r="E28" s="564"/>
      <c r="F28" s="565"/>
      <c r="G28" s="565"/>
      <c r="H28" s="565"/>
      <c r="I28" s="566"/>
      <c r="J28" s="533" t="str">
        <f>IF(AND('Riesgos gestion'!$H$67="Media",'Riesgos gestion'!$L$67="Leve"),CONCATENATE("R",'Riesgos gestion'!$A$67),"")</f>
        <v/>
      </c>
      <c r="K28" s="534"/>
      <c r="L28" s="534" t="str">
        <f>IF(AND('Riesgos gestion'!$H$73="Media",'Riesgos gestion'!$L$73="Leve"),CONCATENATE("R",'Riesgos gestion'!$A$73),"")</f>
        <v/>
      </c>
      <c r="M28" s="534"/>
      <c r="N28" s="534" t="str">
        <f>IF(AND('Riesgos gestion'!$H$79="Media",'Riesgos gestion'!$L$79="Leve"),CONCATENATE("R",'Riesgos gestion'!$A$79),"")</f>
        <v/>
      </c>
      <c r="O28" s="535"/>
      <c r="P28" s="533" t="str">
        <f>IF(AND('Riesgos gestion'!$H$67="Media",'Riesgos gestion'!$L$67="Menor"),CONCATENATE("R",'Riesgos gestion'!$A$67),"")</f>
        <v/>
      </c>
      <c r="Q28" s="534"/>
      <c r="R28" s="534" t="str">
        <f>IF(AND('Riesgos gestion'!$H$73="Media",'Riesgos gestion'!$L$73="Menor"),CONCATENATE("R",'Riesgos gestion'!$A$73),"")</f>
        <v/>
      </c>
      <c r="S28" s="534"/>
      <c r="T28" s="534" t="str">
        <f>IF(AND('Riesgos gestion'!$H$79="Media",'Riesgos gestion'!$L$79="Menor"),CONCATENATE("R",'Riesgos gestion'!$A$79),"")</f>
        <v/>
      </c>
      <c r="U28" s="535"/>
      <c r="V28" s="533" t="str">
        <f>IF(AND('Riesgos gestion'!$H$67="Media",'Riesgos gestion'!$L$67="Moderado"),CONCATENATE("R",'Riesgos gestion'!$A$67),"")</f>
        <v/>
      </c>
      <c r="W28" s="534"/>
      <c r="X28" s="534" t="str">
        <f>IF(AND('Riesgos gestion'!$H$73="Media",'Riesgos gestion'!$L$73="Moderado"),CONCATENATE("R",'Riesgos gestion'!$A$73),"")</f>
        <v/>
      </c>
      <c r="Y28" s="534"/>
      <c r="Z28" s="534" t="str">
        <f>IF(AND('Riesgos gestion'!$H$79="Media",'Riesgos gestion'!$L$79="Moderado"),CONCATENATE("R",'Riesgos gestion'!$A$79),"")</f>
        <v/>
      </c>
      <c r="AA28" s="535"/>
      <c r="AB28" s="551" t="str">
        <f>IF(AND('Riesgos gestion'!$H$67="Media",'Riesgos gestion'!$L$67="Mayor"),CONCATENATE("R",'Riesgos gestion'!$A$67),"")</f>
        <v/>
      </c>
      <c r="AC28" s="552"/>
      <c r="AD28" s="552" t="str">
        <f>IF(AND('Riesgos gestion'!$H$73="Media",'Riesgos gestion'!$L$73="Mayor"),CONCATENATE("R",'Riesgos gestion'!$A$73),"")</f>
        <v/>
      </c>
      <c r="AE28" s="552"/>
      <c r="AF28" s="552" t="str">
        <f>IF(AND('Riesgos gestion'!$H$79="Media",'Riesgos gestion'!$L$79="Mayor"),CONCATENATE("R",'Riesgos gestion'!$A$79),"")</f>
        <v/>
      </c>
      <c r="AG28" s="553"/>
      <c r="AH28" s="542" t="str">
        <f>IF(AND('Riesgos gestion'!$H$67="Media",'Riesgos gestion'!$L$67="Catastrófico"),CONCATENATE("R",'Riesgos gestion'!$A$67),"")</f>
        <v/>
      </c>
      <c r="AI28" s="543"/>
      <c r="AJ28" s="543" t="str">
        <f>IF(AND('Riesgos gestion'!$H$73="Media",'Riesgos gestion'!$L$73="Catastrófico"),CONCATENATE("R",'Riesgos gestion'!$A$73),"")</f>
        <v/>
      </c>
      <c r="AK28" s="543"/>
      <c r="AL28" s="543" t="str">
        <f>IF(AND('Riesgos gestion'!$H$79="Media",'Riesgos gestion'!$L$79="Catastrófico"),CONCATENATE("R",'Riesgos gestion'!$A$79),"")</f>
        <v/>
      </c>
      <c r="AM28" s="544"/>
      <c r="AN28" s="83"/>
      <c r="AO28" s="594"/>
      <c r="AP28" s="595"/>
      <c r="AQ28" s="595"/>
      <c r="AR28" s="595"/>
      <c r="AS28" s="595"/>
      <c r="AT28" s="59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 thickBot="1" x14ac:dyDescent="0.35">
      <c r="A29" s="83"/>
      <c r="B29" s="571"/>
      <c r="C29" s="571"/>
      <c r="D29" s="572"/>
      <c r="E29" s="567"/>
      <c r="F29" s="568"/>
      <c r="G29" s="568"/>
      <c r="H29" s="568"/>
      <c r="I29" s="569"/>
      <c r="J29" s="533"/>
      <c r="K29" s="534"/>
      <c r="L29" s="534"/>
      <c r="M29" s="534"/>
      <c r="N29" s="534"/>
      <c r="O29" s="535"/>
      <c r="P29" s="536"/>
      <c r="Q29" s="537"/>
      <c r="R29" s="537"/>
      <c r="S29" s="537"/>
      <c r="T29" s="537"/>
      <c r="U29" s="538"/>
      <c r="V29" s="536"/>
      <c r="W29" s="537"/>
      <c r="X29" s="537"/>
      <c r="Y29" s="537"/>
      <c r="Z29" s="537"/>
      <c r="AA29" s="538"/>
      <c r="AB29" s="554"/>
      <c r="AC29" s="555"/>
      <c r="AD29" s="555"/>
      <c r="AE29" s="555"/>
      <c r="AF29" s="555"/>
      <c r="AG29" s="556"/>
      <c r="AH29" s="545"/>
      <c r="AI29" s="546"/>
      <c r="AJ29" s="546"/>
      <c r="AK29" s="546"/>
      <c r="AL29" s="546"/>
      <c r="AM29" s="547"/>
      <c r="AN29" s="83"/>
      <c r="AO29" s="597"/>
      <c r="AP29" s="598"/>
      <c r="AQ29" s="598"/>
      <c r="AR29" s="598"/>
      <c r="AS29" s="598"/>
      <c r="AT29" s="599"/>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3">
      <c r="A30" s="83"/>
      <c r="B30" s="571"/>
      <c r="C30" s="571"/>
      <c r="D30" s="572"/>
      <c r="E30" s="561" t="s">
        <v>322</v>
      </c>
      <c r="F30" s="562"/>
      <c r="G30" s="562"/>
      <c r="H30" s="562"/>
      <c r="I30" s="562"/>
      <c r="J30" s="530" t="str">
        <f>IF(AND('Riesgos gestion'!$H$13="Baja",'Riesgos gestion'!$L$13="Leve"),CONCATENATE("R",'Riesgos gestion'!$A$13),"")</f>
        <v/>
      </c>
      <c r="K30" s="531"/>
      <c r="L30" s="531" t="str">
        <f>IF(AND('Riesgos gestion'!$H$19="Baja",'Riesgos gestion'!$L$19="Leve"),CONCATENATE("R",'Riesgos gestion'!$A$19),"")</f>
        <v/>
      </c>
      <c r="M30" s="531"/>
      <c r="N30" s="531" t="str">
        <f>IF(AND('Riesgos gestion'!$H$25="Baja",'Riesgos gestion'!$L$25="Leve"),CONCATENATE("R",'Riesgos gestion'!$A$25),"")</f>
        <v/>
      </c>
      <c r="O30" s="532"/>
      <c r="P30" s="540" t="str">
        <f>IF(AND('Riesgos gestion'!$H$13="Baja",'Riesgos gestion'!$L$13="Menor"),CONCATENATE("R",'Riesgos gestion'!$A$13),"")</f>
        <v/>
      </c>
      <c r="Q30" s="540"/>
      <c r="R30" s="540" t="str">
        <f>IF(AND('Riesgos gestion'!$H$19="Baja",'Riesgos gestion'!$L$19="Menor"),CONCATENATE("R",'Riesgos gestion'!$A$19),"")</f>
        <v/>
      </c>
      <c r="S30" s="540"/>
      <c r="T30" s="540" t="str">
        <f>IF(AND('Riesgos gestion'!$H$25="Baja",'Riesgos gestion'!$L$25="Menor"),CONCATENATE("R",'Riesgos gestion'!$A$25),"")</f>
        <v/>
      </c>
      <c r="U30" s="541"/>
      <c r="V30" s="539" t="str">
        <f>IF(AND('Riesgos gestion'!$H$13="Baja",'Riesgos gestion'!$L$13="Moderado"),CONCATENATE("R",'Riesgos gestion'!$A$13),"")</f>
        <v/>
      </c>
      <c r="W30" s="540"/>
      <c r="X30" s="540" t="str">
        <f>IF(AND('Riesgos gestion'!$H$19="Baja",'Riesgos gestion'!$L$19="Moderado"),CONCATENATE("R",'Riesgos gestion'!$A$19),"")</f>
        <v/>
      </c>
      <c r="Y30" s="540"/>
      <c r="Z30" s="540" t="str">
        <f>IF(AND('Riesgos gestion'!$H$25="Baja",'Riesgos gestion'!$L$25="Moderado"),CONCATENATE("R",'Riesgos gestion'!$A$25),"")</f>
        <v/>
      </c>
      <c r="AA30" s="541"/>
      <c r="AB30" s="557" t="str">
        <f>IF(AND('Riesgos gestion'!$H$13="Baja",'Riesgos gestion'!$L$13="Mayor"),CONCATENATE("R",'Riesgos gestion'!$A$13),"")</f>
        <v/>
      </c>
      <c r="AC30" s="558"/>
      <c r="AD30" s="558" t="str">
        <f>IF(AND('Riesgos gestion'!$H$19="Baja",'Riesgos gestion'!$L$19="Mayor"),CONCATENATE("R",'Riesgos gestion'!$A$19),"")</f>
        <v/>
      </c>
      <c r="AE30" s="558"/>
      <c r="AF30" s="558" t="str">
        <f>IF(AND('Riesgos gestion'!$H$25="Baja",'Riesgos gestion'!$L$25="Mayor"),CONCATENATE("R",'Riesgos gestion'!$A$25),"")</f>
        <v/>
      </c>
      <c r="AG30" s="559"/>
      <c r="AH30" s="548" t="str">
        <f>IF(AND('Riesgos gestion'!$H$13="Baja",'Riesgos gestion'!$L$13="Catastrófico"),CONCATENATE("R",'Riesgos gestion'!$A$13),"")</f>
        <v/>
      </c>
      <c r="AI30" s="549"/>
      <c r="AJ30" s="549" t="str">
        <f>IF(AND('Riesgos gestion'!$H$19="Baja",'Riesgos gestion'!$L$19="Catastrófico"),CONCATENATE("R",'Riesgos gestion'!$A$19),"")</f>
        <v/>
      </c>
      <c r="AK30" s="549"/>
      <c r="AL30" s="549" t="str">
        <f>IF(AND('Riesgos gestion'!$H$25="Baja",'Riesgos gestion'!$L$25="Catastrófico"),CONCATENATE("R",'Riesgos gestion'!$A$25),"")</f>
        <v/>
      </c>
      <c r="AM30" s="550"/>
      <c r="AN30" s="83"/>
      <c r="AO30" s="600" t="s">
        <v>323</v>
      </c>
      <c r="AP30" s="601"/>
      <c r="AQ30" s="601"/>
      <c r="AR30" s="601"/>
      <c r="AS30" s="601"/>
      <c r="AT30" s="602"/>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3">
      <c r="A31" s="83"/>
      <c r="B31" s="571"/>
      <c r="C31" s="571"/>
      <c r="D31" s="572"/>
      <c r="E31" s="564"/>
      <c r="F31" s="565"/>
      <c r="G31" s="565"/>
      <c r="H31" s="565"/>
      <c r="I31" s="565"/>
      <c r="J31" s="524"/>
      <c r="K31" s="525"/>
      <c r="L31" s="525"/>
      <c r="M31" s="525"/>
      <c r="N31" s="525"/>
      <c r="O31" s="526"/>
      <c r="P31" s="534"/>
      <c r="Q31" s="534"/>
      <c r="R31" s="534"/>
      <c r="S31" s="534"/>
      <c r="T31" s="534"/>
      <c r="U31" s="535"/>
      <c r="V31" s="533"/>
      <c r="W31" s="534"/>
      <c r="X31" s="534"/>
      <c r="Y31" s="534"/>
      <c r="Z31" s="534"/>
      <c r="AA31" s="535"/>
      <c r="AB31" s="551"/>
      <c r="AC31" s="552"/>
      <c r="AD31" s="552"/>
      <c r="AE31" s="552"/>
      <c r="AF31" s="552"/>
      <c r="AG31" s="553"/>
      <c r="AH31" s="542"/>
      <c r="AI31" s="543"/>
      <c r="AJ31" s="543"/>
      <c r="AK31" s="543"/>
      <c r="AL31" s="543"/>
      <c r="AM31" s="544"/>
      <c r="AN31" s="83"/>
      <c r="AO31" s="603"/>
      <c r="AP31" s="604"/>
      <c r="AQ31" s="604"/>
      <c r="AR31" s="604"/>
      <c r="AS31" s="604"/>
      <c r="AT31" s="605"/>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3">
      <c r="A32" s="83"/>
      <c r="B32" s="571"/>
      <c r="C32" s="571"/>
      <c r="D32" s="572"/>
      <c r="E32" s="564"/>
      <c r="F32" s="565"/>
      <c r="G32" s="565"/>
      <c r="H32" s="565"/>
      <c r="I32" s="565"/>
      <c r="J32" s="524" t="str">
        <f>IF(AND('Riesgos gestion'!$H$31="Baja",'Riesgos gestion'!$L$31="Leve"),CONCATENATE("R",'Riesgos gestion'!$A$31),"")</f>
        <v/>
      </c>
      <c r="K32" s="525"/>
      <c r="L32" s="525" t="str">
        <f>IF(AND('Riesgos gestion'!$H$37="Baja",'Riesgos gestion'!$L$37="Leve"),CONCATENATE("R",'Riesgos gestion'!$A$37),"")</f>
        <v/>
      </c>
      <c r="M32" s="525"/>
      <c r="N32" s="525" t="str">
        <f>IF(AND('Riesgos gestion'!$H$43="Baja",'Riesgos gestion'!$L$43="Leve"),CONCATENATE("R",'Riesgos gestion'!$A$43),"")</f>
        <v/>
      </c>
      <c r="O32" s="526"/>
      <c r="P32" s="534" t="str">
        <f>IF(AND('Riesgos gestion'!$H$31="Baja",'Riesgos gestion'!$L$31="Menor"),CONCATENATE("R",'Riesgos gestion'!$A$31),"")</f>
        <v/>
      </c>
      <c r="Q32" s="534"/>
      <c r="R32" s="534" t="str">
        <f>IF(AND('Riesgos gestion'!$H$37="Baja",'Riesgos gestion'!$L$37="Menor"),CONCATENATE("R",'Riesgos gestion'!$A$37),"")</f>
        <v/>
      </c>
      <c r="S32" s="534"/>
      <c r="T32" s="534" t="str">
        <f>IF(AND('Riesgos gestion'!$H$43="Baja",'Riesgos gestion'!$L$43="Menor"),CONCATENATE("R",'Riesgos gestion'!$A$43),"")</f>
        <v/>
      </c>
      <c r="U32" s="535"/>
      <c r="V32" s="533" t="str">
        <f>IF(AND('Riesgos gestion'!$H$31="Baja",'Riesgos gestion'!$L$31="Moderado"),CONCATENATE("R",'Riesgos gestion'!$A$31),"")</f>
        <v/>
      </c>
      <c r="W32" s="534"/>
      <c r="X32" s="534" t="str">
        <f>IF(AND('Riesgos gestion'!$H$37="Baja",'Riesgos gestion'!$L$37="Moderado"),CONCATENATE("R",'Riesgos gestion'!$A$37),"")</f>
        <v/>
      </c>
      <c r="Y32" s="534"/>
      <c r="Z32" s="534" t="str">
        <f>IF(AND('Riesgos gestion'!$H$43="Baja",'Riesgos gestion'!$L$43="Moderado"),CONCATENATE("R",'Riesgos gestion'!$A$43),"")</f>
        <v/>
      </c>
      <c r="AA32" s="535"/>
      <c r="AB32" s="551" t="str">
        <f>IF(AND('Riesgos gestion'!$H$31="Baja",'Riesgos gestion'!$L$31="Mayor"),CONCATENATE("R",'Riesgos gestion'!$A$31),"")</f>
        <v/>
      </c>
      <c r="AC32" s="552"/>
      <c r="AD32" s="552" t="str">
        <f>IF(AND('Riesgos gestion'!$H$37="Baja",'Riesgos gestion'!$L$37="Mayor"),CONCATENATE("R",'Riesgos gestion'!$A$37),"")</f>
        <v/>
      </c>
      <c r="AE32" s="552"/>
      <c r="AF32" s="552" t="str">
        <f>IF(AND('Riesgos gestion'!$H$43="Baja",'Riesgos gestion'!$L$43="Mayor"),CONCATENATE("R",'Riesgos gestion'!$A$43),"")</f>
        <v/>
      </c>
      <c r="AG32" s="553"/>
      <c r="AH32" s="542" t="str">
        <f>IF(AND('Riesgos gestion'!$H$31="Baja",'Riesgos gestion'!$L$31="Catastrófico"),CONCATENATE("R",'Riesgos gestion'!$A$31),"")</f>
        <v/>
      </c>
      <c r="AI32" s="543"/>
      <c r="AJ32" s="543" t="str">
        <f>IF(AND('Riesgos gestion'!$H$37="Baja",'Riesgos gestion'!$L$37="Catastrófico"),CONCATENATE("R",'Riesgos gestion'!$A$37),"")</f>
        <v/>
      </c>
      <c r="AK32" s="543"/>
      <c r="AL32" s="543" t="str">
        <f>IF(AND('Riesgos gestion'!$H$43="Baja",'Riesgos gestion'!$L$43="Catastrófico"),CONCATENATE("R",'Riesgos gestion'!$A$43),"")</f>
        <v/>
      </c>
      <c r="AM32" s="544"/>
      <c r="AN32" s="83"/>
      <c r="AO32" s="603"/>
      <c r="AP32" s="604"/>
      <c r="AQ32" s="604"/>
      <c r="AR32" s="604"/>
      <c r="AS32" s="604"/>
      <c r="AT32" s="605"/>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3">
      <c r="A33" s="83"/>
      <c r="B33" s="571"/>
      <c r="C33" s="571"/>
      <c r="D33" s="572"/>
      <c r="E33" s="564"/>
      <c r="F33" s="565"/>
      <c r="G33" s="565"/>
      <c r="H33" s="565"/>
      <c r="I33" s="565"/>
      <c r="J33" s="524"/>
      <c r="K33" s="525"/>
      <c r="L33" s="525"/>
      <c r="M33" s="525"/>
      <c r="N33" s="525"/>
      <c r="O33" s="526"/>
      <c r="P33" s="534"/>
      <c r="Q33" s="534"/>
      <c r="R33" s="534"/>
      <c r="S33" s="534"/>
      <c r="T33" s="534"/>
      <c r="U33" s="535"/>
      <c r="V33" s="533"/>
      <c r="W33" s="534"/>
      <c r="X33" s="534"/>
      <c r="Y33" s="534"/>
      <c r="Z33" s="534"/>
      <c r="AA33" s="535"/>
      <c r="AB33" s="551"/>
      <c r="AC33" s="552"/>
      <c r="AD33" s="552"/>
      <c r="AE33" s="552"/>
      <c r="AF33" s="552"/>
      <c r="AG33" s="553"/>
      <c r="AH33" s="542"/>
      <c r="AI33" s="543"/>
      <c r="AJ33" s="543"/>
      <c r="AK33" s="543"/>
      <c r="AL33" s="543"/>
      <c r="AM33" s="544"/>
      <c r="AN33" s="83"/>
      <c r="AO33" s="603"/>
      <c r="AP33" s="604"/>
      <c r="AQ33" s="604"/>
      <c r="AR33" s="604"/>
      <c r="AS33" s="604"/>
      <c r="AT33" s="605"/>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3">
      <c r="A34" s="83"/>
      <c r="B34" s="571"/>
      <c r="C34" s="571"/>
      <c r="D34" s="572"/>
      <c r="E34" s="564"/>
      <c r="F34" s="565"/>
      <c r="G34" s="565"/>
      <c r="H34" s="565"/>
      <c r="I34" s="565"/>
      <c r="J34" s="524" t="str">
        <f>IF(AND('Riesgos gestion'!$H$49="Baja",'Riesgos gestion'!$L$49="Leve"),CONCATENATE("R",'Riesgos gestion'!$A$49),"")</f>
        <v/>
      </c>
      <c r="K34" s="525"/>
      <c r="L34" s="525" t="str">
        <f>IF(AND('Riesgos gestion'!$H$55="Baja",'Riesgos gestion'!$L$55="Leve"),CONCATENATE("R",'Riesgos gestion'!$A$55),"")</f>
        <v/>
      </c>
      <c r="M34" s="525"/>
      <c r="N34" s="525" t="str">
        <f>IF(AND('Riesgos gestion'!$H$61="Baja",'Riesgos gestion'!$L$61="Leve"),CONCATENATE("R",'Riesgos gestion'!$A$61),"")</f>
        <v/>
      </c>
      <c r="O34" s="526"/>
      <c r="P34" s="534" t="str">
        <f>IF(AND('Riesgos gestion'!$H$49="Baja",'Riesgos gestion'!$L$49="Menor"),CONCATENATE("R",'Riesgos gestion'!$A$49),"")</f>
        <v/>
      </c>
      <c r="Q34" s="534"/>
      <c r="R34" s="534" t="str">
        <f>IF(AND('Riesgos gestion'!$H$55="Baja",'Riesgos gestion'!$L$55="Menor"),CONCATENATE("R",'Riesgos gestion'!$A$55),"")</f>
        <v/>
      </c>
      <c r="S34" s="534"/>
      <c r="T34" s="534" t="str">
        <f>IF(AND('Riesgos gestion'!$H$61="Baja",'Riesgos gestion'!$L$61="Menor"),CONCATENATE("R",'Riesgos gestion'!$A$61),"")</f>
        <v/>
      </c>
      <c r="U34" s="535"/>
      <c r="V34" s="533" t="str">
        <f>IF(AND('Riesgos gestion'!$H$49="Baja",'Riesgos gestion'!$L$49="Moderado"),CONCATENATE("R",'Riesgos gestion'!$A$49),"")</f>
        <v/>
      </c>
      <c r="W34" s="534"/>
      <c r="X34" s="534" t="str">
        <f>IF(AND('Riesgos gestion'!$H$55="Baja",'Riesgos gestion'!$L$55="Moderado"),CONCATENATE("R",'Riesgos gestion'!$A$55),"")</f>
        <v/>
      </c>
      <c r="Y34" s="534"/>
      <c r="Z34" s="534" t="str">
        <f>IF(AND('Riesgos gestion'!$H$61="Baja",'Riesgos gestion'!$L$61="Moderado"),CONCATENATE("R",'Riesgos gestion'!$A$61),"")</f>
        <v/>
      </c>
      <c r="AA34" s="535"/>
      <c r="AB34" s="551" t="str">
        <f>IF(AND('Riesgos gestion'!$H$49="Baja",'Riesgos gestion'!$L$49="Mayor"),CONCATENATE("R",'Riesgos gestion'!$A$49),"")</f>
        <v/>
      </c>
      <c r="AC34" s="552"/>
      <c r="AD34" s="552" t="str">
        <f>IF(AND('Riesgos gestion'!$H$55="Baja",'Riesgos gestion'!$L$55="Mayor"),CONCATENATE("R",'Riesgos gestion'!$A$55),"")</f>
        <v/>
      </c>
      <c r="AE34" s="552"/>
      <c r="AF34" s="552" t="str">
        <f>IF(AND('Riesgos gestion'!$H$61="Baja",'Riesgos gestion'!$L$61="Mayor"),CONCATENATE("R",'Riesgos gestion'!$A$61),"")</f>
        <v/>
      </c>
      <c r="AG34" s="553"/>
      <c r="AH34" s="542" t="str">
        <f>IF(AND('Riesgos gestion'!$H$49="Baja",'Riesgos gestion'!$L$49="Catastrófico"),CONCATENATE("R",'Riesgos gestion'!$A$49),"")</f>
        <v/>
      </c>
      <c r="AI34" s="543"/>
      <c r="AJ34" s="543" t="str">
        <f>IF(AND('Riesgos gestion'!$H$55="Baja",'Riesgos gestion'!$L$55="Catastrófico"),CONCATENATE("R",'Riesgos gestion'!$A$55),"")</f>
        <v/>
      </c>
      <c r="AK34" s="543"/>
      <c r="AL34" s="543" t="str">
        <f>IF(AND('Riesgos gestion'!$H$61="Baja",'Riesgos gestion'!$L$61="Catastrófico"),CONCATENATE("R",'Riesgos gestion'!$A$61),"")</f>
        <v/>
      </c>
      <c r="AM34" s="544"/>
      <c r="AN34" s="83"/>
      <c r="AO34" s="603"/>
      <c r="AP34" s="604"/>
      <c r="AQ34" s="604"/>
      <c r="AR34" s="604"/>
      <c r="AS34" s="604"/>
      <c r="AT34" s="605"/>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3">
      <c r="A35" s="83"/>
      <c r="B35" s="571"/>
      <c r="C35" s="571"/>
      <c r="D35" s="572"/>
      <c r="E35" s="564"/>
      <c r="F35" s="565"/>
      <c r="G35" s="565"/>
      <c r="H35" s="565"/>
      <c r="I35" s="565"/>
      <c r="J35" s="524"/>
      <c r="K35" s="525"/>
      <c r="L35" s="525"/>
      <c r="M35" s="525"/>
      <c r="N35" s="525"/>
      <c r="O35" s="526"/>
      <c r="P35" s="534"/>
      <c r="Q35" s="534"/>
      <c r="R35" s="534"/>
      <c r="S35" s="534"/>
      <c r="T35" s="534"/>
      <c r="U35" s="535"/>
      <c r="V35" s="533"/>
      <c r="W35" s="534"/>
      <c r="X35" s="534"/>
      <c r="Y35" s="534"/>
      <c r="Z35" s="534"/>
      <c r="AA35" s="535"/>
      <c r="AB35" s="551"/>
      <c r="AC35" s="552"/>
      <c r="AD35" s="552"/>
      <c r="AE35" s="552"/>
      <c r="AF35" s="552"/>
      <c r="AG35" s="553"/>
      <c r="AH35" s="542"/>
      <c r="AI35" s="543"/>
      <c r="AJ35" s="543"/>
      <c r="AK35" s="543"/>
      <c r="AL35" s="543"/>
      <c r="AM35" s="544"/>
      <c r="AN35" s="83"/>
      <c r="AO35" s="603"/>
      <c r="AP35" s="604"/>
      <c r="AQ35" s="604"/>
      <c r="AR35" s="604"/>
      <c r="AS35" s="604"/>
      <c r="AT35" s="605"/>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3">
      <c r="A36" s="83"/>
      <c r="B36" s="571"/>
      <c r="C36" s="571"/>
      <c r="D36" s="572"/>
      <c r="E36" s="564"/>
      <c r="F36" s="565"/>
      <c r="G36" s="565"/>
      <c r="H36" s="565"/>
      <c r="I36" s="565"/>
      <c r="J36" s="524" t="str">
        <f>IF(AND('Riesgos gestion'!$H$67="Baja",'Riesgos gestion'!$L$67="Leve"),CONCATENATE("R",'Riesgos gestion'!$A$67),"")</f>
        <v/>
      </c>
      <c r="K36" s="525"/>
      <c r="L36" s="525" t="str">
        <f>IF(AND('Riesgos gestion'!$H$73="Baja",'Riesgos gestion'!$L$73="Leve"),CONCATENATE("R",'Riesgos gestion'!$A$73),"")</f>
        <v/>
      </c>
      <c r="M36" s="525"/>
      <c r="N36" s="525" t="str">
        <f>IF(AND('Riesgos gestion'!$H$79="Baja",'Riesgos gestion'!$L$79="Leve"),CONCATENATE("R",'Riesgos gestion'!$A$79),"")</f>
        <v/>
      </c>
      <c r="O36" s="526"/>
      <c r="P36" s="534" t="str">
        <f>IF(AND('Riesgos gestion'!$H$67="Baja",'Riesgos gestion'!$L$67="Menor"),CONCATENATE("R",'Riesgos gestion'!$A$67),"")</f>
        <v/>
      </c>
      <c r="Q36" s="534"/>
      <c r="R36" s="534" t="str">
        <f>IF(AND('Riesgos gestion'!$H$73="Baja",'Riesgos gestion'!$L$73="Menor"),CONCATENATE("R",'Riesgos gestion'!$A$73),"")</f>
        <v/>
      </c>
      <c r="S36" s="534"/>
      <c r="T36" s="534" t="str">
        <f>IF(AND('Riesgos gestion'!$H$79="Baja",'Riesgos gestion'!$L$79="Menor"),CONCATENATE("R",'Riesgos gestion'!$A$79),"")</f>
        <v/>
      </c>
      <c r="U36" s="535"/>
      <c r="V36" s="533" t="str">
        <f>IF(AND('Riesgos gestion'!$H$67="Baja",'Riesgos gestion'!$L$67="Moderado"),CONCATENATE("R",'Riesgos gestion'!$A$67),"")</f>
        <v/>
      </c>
      <c r="W36" s="534"/>
      <c r="X36" s="534" t="str">
        <f>IF(AND('Riesgos gestion'!$H$73="Baja",'Riesgos gestion'!$L$73="Moderado"),CONCATENATE("R",'Riesgos gestion'!$A$73),"")</f>
        <v/>
      </c>
      <c r="Y36" s="534"/>
      <c r="Z36" s="534" t="str">
        <f>IF(AND('Riesgos gestion'!$H$79="Baja",'Riesgos gestion'!$L$79="Moderado"),CONCATENATE("R",'Riesgos gestion'!$A$79),"")</f>
        <v/>
      </c>
      <c r="AA36" s="535"/>
      <c r="AB36" s="551" t="str">
        <f>IF(AND('Riesgos gestion'!$H$67="Baja",'Riesgos gestion'!$L$67="Mayor"),CONCATENATE("R",'Riesgos gestion'!$A$67),"")</f>
        <v/>
      </c>
      <c r="AC36" s="552"/>
      <c r="AD36" s="552" t="str">
        <f>IF(AND('Riesgos gestion'!$H$73="Baja",'Riesgos gestion'!$L$73="Mayor"),CONCATENATE("R",'Riesgos gestion'!$A$73),"")</f>
        <v/>
      </c>
      <c r="AE36" s="552"/>
      <c r="AF36" s="552" t="str">
        <f>IF(AND('Riesgos gestion'!$H$79="Baja",'Riesgos gestion'!$L$79="Mayor"),CONCATENATE("R",'Riesgos gestion'!$A$79),"")</f>
        <v/>
      </c>
      <c r="AG36" s="553"/>
      <c r="AH36" s="542" t="str">
        <f>IF(AND('Riesgos gestion'!$H$67="Baja",'Riesgos gestion'!$L$67="Catastrófico"),CONCATENATE("R",'Riesgos gestion'!$A$67),"")</f>
        <v/>
      </c>
      <c r="AI36" s="543"/>
      <c r="AJ36" s="543" t="str">
        <f>IF(AND('Riesgos gestion'!$H$73="Baja",'Riesgos gestion'!$L$73="Catastrófico"),CONCATENATE("R",'Riesgos gestion'!$A$73),"")</f>
        <v/>
      </c>
      <c r="AK36" s="543"/>
      <c r="AL36" s="543" t="str">
        <f>IF(AND('Riesgos gestion'!$H$79="Baja",'Riesgos gestion'!$L$79="Catastrófico"),CONCATENATE("R",'Riesgos gestion'!$A$79),"")</f>
        <v/>
      </c>
      <c r="AM36" s="544"/>
      <c r="AN36" s="83"/>
      <c r="AO36" s="603"/>
      <c r="AP36" s="604"/>
      <c r="AQ36" s="604"/>
      <c r="AR36" s="604"/>
      <c r="AS36" s="604"/>
      <c r="AT36" s="60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 thickBot="1" x14ac:dyDescent="0.35">
      <c r="A37" s="83"/>
      <c r="B37" s="571"/>
      <c r="C37" s="571"/>
      <c r="D37" s="572"/>
      <c r="E37" s="567"/>
      <c r="F37" s="568"/>
      <c r="G37" s="568"/>
      <c r="H37" s="568"/>
      <c r="I37" s="568"/>
      <c r="J37" s="527"/>
      <c r="K37" s="528"/>
      <c r="L37" s="528"/>
      <c r="M37" s="528"/>
      <c r="N37" s="528"/>
      <c r="O37" s="529"/>
      <c r="P37" s="537"/>
      <c r="Q37" s="537"/>
      <c r="R37" s="537"/>
      <c r="S37" s="537"/>
      <c r="T37" s="537"/>
      <c r="U37" s="538"/>
      <c r="V37" s="536"/>
      <c r="W37" s="537"/>
      <c r="X37" s="537"/>
      <c r="Y37" s="537"/>
      <c r="Z37" s="537"/>
      <c r="AA37" s="538"/>
      <c r="AB37" s="554"/>
      <c r="AC37" s="555"/>
      <c r="AD37" s="555"/>
      <c r="AE37" s="555"/>
      <c r="AF37" s="555"/>
      <c r="AG37" s="556"/>
      <c r="AH37" s="545"/>
      <c r="AI37" s="546"/>
      <c r="AJ37" s="546"/>
      <c r="AK37" s="546"/>
      <c r="AL37" s="546"/>
      <c r="AM37" s="547"/>
      <c r="AN37" s="83"/>
      <c r="AO37" s="606"/>
      <c r="AP37" s="607"/>
      <c r="AQ37" s="607"/>
      <c r="AR37" s="607"/>
      <c r="AS37" s="607"/>
      <c r="AT37" s="60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3">
      <c r="A38" s="83"/>
      <c r="B38" s="571"/>
      <c r="C38" s="571"/>
      <c r="D38" s="572"/>
      <c r="E38" s="561" t="s">
        <v>324</v>
      </c>
      <c r="F38" s="562"/>
      <c r="G38" s="562"/>
      <c r="H38" s="562"/>
      <c r="I38" s="563"/>
      <c r="J38" s="530" t="str">
        <f>IF(AND('Riesgos gestion'!$H$13="Muy Baja",'Riesgos gestion'!$L$13="Leve"),CONCATENATE("R",'Riesgos gestion'!$A$13),"")</f>
        <v/>
      </c>
      <c r="K38" s="531"/>
      <c r="L38" s="531" t="str">
        <f>IF(AND('Riesgos gestion'!$H$19="Muy Baja",'Riesgos gestion'!$L$19="Leve"),CONCATENATE("R",'Riesgos gestion'!$A$19),"")</f>
        <v/>
      </c>
      <c r="M38" s="531"/>
      <c r="N38" s="531" t="str">
        <f>IF(AND('Riesgos gestion'!$H$25="Muy Baja",'Riesgos gestion'!$L$25="Leve"),CONCATENATE("R",'Riesgos gestion'!$A$25),"")</f>
        <v/>
      </c>
      <c r="O38" s="532"/>
      <c r="P38" s="530" t="str">
        <f>IF(AND('Riesgos gestion'!$H$13="Muy Baja",'Riesgos gestion'!$L$13="Menor"),CONCATENATE("R",'Riesgos gestion'!$A$13),"")</f>
        <v/>
      </c>
      <c r="Q38" s="531"/>
      <c r="R38" s="531" t="str">
        <f>IF(AND('Riesgos gestion'!$H$19="Muy Baja",'Riesgos gestion'!$L$19="Menor"),CONCATENATE("R",'Riesgos gestion'!$A$19),"")</f>
        <v/>
      </c>
      <c r="S38" s="531"/>
      <c r="T38" s="531" t="str">
        <f>IF(AND('Riesgos gestion'!$H$25="Muy Baja",'Riesgos gestion'!$L$25="Menor"),CONCATENATE("R",'Riesgos gestion'!$A$25),"")</f>
        <v/>
      </c>
      <c r="U38" s="532"/>
      <c r="V38" s="539" t="str">
        <f>IF(AND('Riesgos gestion'!$H$13="Muy Baja",'Riesgos gestion'!$L$13="Moderado"),CONCATENATE("R",'Riesgos gestion'!$A$13),"")</f>
        <v/>
      </c>
      <c r="W38" s="540"/>
      <c r="X38" s="540" t="str">
        <f>IF(AND('Riesgos gestion'!$H$19="Muy Baja",'Riesgos gestion'!$L$19="Moderado"),CONCATENATE("R",'Riesgos gestion'!$A$19),"")</f>
        <v/>
      </c>
      <c r="Y38" s="540"/>
      <c r="Z38" s="540" t="str">
        <f>IF(AND('Riesgos gestion'!$H$25="Muy Baja",'Riesgos gestion'!$L$25="Moderado"),CONCATENATE("R",'Riesgos gestion'!$A$25),"")</f>
        <v/>
      </c>
      <c r="AA38" s="541"/>
      <c r="AB38" s="557" t="str">
        <f>IF(AND('Riesgos gestion'!$H$13="Muy Baja",'Riesgos gestion'!$L$13="Mayor"),CONCATENATE("R",'Riesgos gestion'!$A$13),"")</f>
        <v/>
      </c>
      <c r="AC38" s="558"/>
      <c r="AD38" s="558" t="str">
        <f>IF(AND('Riesgos gestion'!$H$19="Muy Baja",'Riesgos gestion'!$L$19="Mayor"),CONCATENATE("R",'Riesgos gestion'!$A$19),"")</f>
        <v/>
      </c>
      <c r="AE38" s="558"/>
      <c r="AF38" s="558" t="str">
        <f>IF(AND('Riesgos gestion'!$H$25="Muy Baja",'Riesgos gestion'!$L$25="Mayor"),CONCATENATE("R",'Riesgos gestion'!$A$25),"")</f>
        <v/>
      </c>
      <c r="AG38" s="559"/>
      <c r="AH38" s="548" t="str">
        <f>IF(AND('Riesgos gestion'!$H$13="Muy Baja",'Riesgos gestion'!$L$13="Catastrófico"),CONCATENATE("R",'Riesgos gestion'!$A$13),"")</f>
        <v/>
      </c>
      <c r="AI38" s="549"/>
      <c r="AJ38" s="549" t="str">
        <f>IF(AND('Riesgos gestion'!$H$19="Muy Baja",'Riesgos gestion'!$L$19="Catastrófico"),CONCATENATE("R",'Riesgos gestion'!$A$19),"")</f>
        <v/>
      </c>
      <c r="AK38" s="549"/>
      <c r="AL38" s="549" t="str">
        <f>IF(AND('Riesgos gestion'!$H$25="Muy Baja",'Riesgos gestion'!$L$25="Catastrófico"),CONCATENATE("R",'Riesgos gestion'!$A$25),"")</f>
        <v/>
      </c>
      <c r="AM38" s="550"/>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3">
      <c r="A39" s="83"/>
      <c r="B39" s="571"/>
      <c r="C39" s="571"/>
      <c r="D39" s="572"/>
      <c r="E39" s="564"/>
      <c r="F39" s="565"/>
      <c r="G39" s="565"/>
      <c r="H39" s="565"/>
      <c r="I39" s="566"/>
      <c r="J39" s="524"/>
      <c r="K39" s="525"/>
      <c r="L39" s="525"/>
      <c r="M39" s="525"/>
      <c r="N39" s="525"/>
      <c r="O39" s="526"/>
      <c r="P39" s="524"/>
      <c r="Q39" s="525"/>
      <c r="R39" s="525"/>
      <c r="S39" s="525"/>
      <c r="T39" s="525"/>
      <c r="U39" s="526"/>
      <c r="V39" s="533"/>
      <c r="W39" s="534"/>
      <c r="X39" s="534"/>
      <c r="Y39" s="534"/>
      <c r="Z39" s="534"/>
      <c r="AA39" s="535"/>
      <c r="AB39" s="551"/>
      <c r="AC39" s="552"/>
      <c r="AD39" s="552"/>
      <c r="AE39" s="552"/>
      <c r="AF39" s="552"/>
      <c r="AG39" s="553"/>
      <c r="AH39" s="542"/>
      <c r="AI39" s="543"/>
      <c r="AJ39" s="543"/>
      <c r="AK39" s="543"/>
      <c r="AL39" s="543"/>
      <c r="AM39" s="544"/>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3">
      <c r="A40" s="83"/>
      <c r="B40" s="571"/>
      <c r="C40" s="571"/>
      <c r="D40" s="572"/>
      <c r="E40" s="564"/>
      <c r="F40" s="565"/>
      <c r="G40" s="565"/>
      <c r="H40" s="565"/>
      <c r="I40" s="566"/>
      <c r="J40" s="524" t="str">
        <f>IF(AND('Riesgos gestion'!$H$31="Muy Baja",'Riesgos gestion'!$L$31="Leve"),CONCATENATE("R",'Riesgos gestion'!$A$31),"")</f>
        <v/>
      </c>
      <c r="K40" s="525"/>
      <c r="L40" s="525" t="str">
        <f>IF(AND('Riesgos gestion'!$H$37="Muy Baja",'Riesgos gestion'!$L$37="Leve"),CONCATENATE("R",'Riesgos gestion'!$A$37),"")</f>
        <v/>
      </c>
      <c r="M40" s="525"/>
      <c r="N40" s="525" t="str">
        <f>IF(AND('Riesgos gestion'!$H$43="Muy Baja",'Riesgos gestion'!$L$43="Leve"),CONCATENATE("R",'Riesgos gestion'!$A$43),"")</f>
        <v/>
      </c>
      <c r="O40" s="526"/>
      <c r="P40" s="524" t="str">
        <f>IF(AND('Riesgos gestion'!$H$31="Muy Baja",'Riesgos gestion'!$L$31="Menor"),CONCATENATE("R",'Riesgos gestion'!$A$31),"")</f>
        <v/>
      </c>
      <c r="Q40" s="525"/>
      <c r="R40" s="525" t="str">
        <f>IF(AND('Riesgos gestion'!$H$37="Muy Baja",'Riesgos gestion'!$L$37="Menor"),CONCATENATE("R",'Riesgos gestion'!$A$37),"")</f>
        <v/>
      </c>
      <c r="S40" s="525"/>
      <c r="T40" s="525" t="str">
        <f>IF(AND('Riesgos gestion'!$H$43="Muy Baja",'Riesgos gestion'!$L$43="Menor"),CONCATENATE("R",'Riesgos gestion'!$A$43),"")</f>
        <v/>
      </c>
      <c r="U40" s="526"/>
      <c r="V40" s="533" t="str">
        <f>IF(AND('Riesgos gestion'!$H$31="Muy Baja",'Riesgos gestion'!$L$31="Moderado"),CONCATENATE("R",'Riesgos gestion'!$A$31),"")</f>
        <v/>
      </c>
      <c r="W40" s="534"/>
      <c r="X40" s="534" t="str">
        <f>IF(AND('Riesgos gestion'!$H$37="Muy Baja",'Riesgos gestion'!$L$37="Moderado"),CONCATENATE("R",'Riesgos gestion'!$A$37),"")</f>
        <v/>
      </c>
      <c r="Y40" s="534"/>
      <c r="Z40" s="534" t="str">
        <f>IF(AND('Riesgos gestion'!$H$43="Muy Baja",'Riesgos gestion'!$L$43="Moderado"),CONCATENATE("R",'Riesgos gestion'!$A$43),"")</f>
        <v/>
      </c>
      <c r="AA40" s="535"/>
      <c r="AB40" s="551" t="str">
        <f>IF(AND('Riesgos gestion'!$H$31="Muy Baja",'Riesgos gestion'!$L$31="Mayor"),CONCATENATE("R",'Riesgos gestion'!$A$31),"")</f>
        <v/>
      </c>
      <c r="AC40" s="552"/>
      <c r="AD40" s="552" t="str">
        <f>IF(AND('Riesgos gestion'!$H$37="Muy Baja",'Riesgos gestion'!$L$37="Mayor"),CONCATENATE("R",'Riesgos gestion'!$A$37),"")</f>
        <v/>
      </c>
      <c r="AE40" s="552"/>
      <c r="AF40" s="552" t="str">
        <f>IF(AND('Riesgos gestion'!$H$43="Muy Baja",'Riesgos gestion'!$L$43="Mayor"),CONCATENATE("R",'Riesgos gestion'!$A$43),"")</f>
        <v/>
      </c>
      <c r="AG40" s="553"/>
      <c r="AH40" s="542" t="str">
        <f>IF(AND('Riesgos gestion'!$H$31="Muy Baja",'Riesgos gestion'!$L$31="Catastrófico"),CONCATENATE("R",'Riesgos gestion'!$A$31),"")</f>
        <v/>
      </c>
      <c r="AI40" s="543"/>
      <c r="AJ40" s="543" t="str">
        <f>IF(AND('Riesgos gestion'!$H$37="Muy Baja",'Riesgos gestion'!$L$37="Catastrófico"),CONCATENATE("R",'Riesgos gestion'!$A$37),"")</f>
        <v/>
      </c>
      <c r="AK40" s="543"/>
      <c r="AL40" s="543" t="str">
        <f>IF(AND('Riesgos gestion'!$H$43="Muy Baja",'Riesgos gestion'!$L$43="Catastrófico"),CONCATENATE("R",'Riesgos gestion'!$A$43),"")</f>
        <v/>
      </c>
      <c r="AM40" s="544"/>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3">
      <c r="A41" s="83"/>
      <c r="B41" s="571"/>
      <c r="C41" s="571"/>
      <c r="D41" s="572"/>
      <c r="E41" s="564"/>
      <c r="F41" s="565"/>
      <c r="G41" s="565"/>
      <c r="H41" s="565"/>
      <c r="I41" s="566"/>
      <c r="J41" s="524"/>
      <c r="K41" s="525"/>
      <c r="L41" s="525"/>
      <c r="M41" s="525"/>
      <c r="N41" s="525"/>
      <c r="O41" s="526"/>
      <c r="P41" s="524"/>
      <c r="Q41" s="525"/>
      <c r="R41" s="525"/>
      <c r="S41" s="525"/>
      <c r="T41" s="525"/>
      <c r="U41" s="526"/>
      <c r="V41" s="533"/>
      <c r="W41" s="534"/>
      <c r="X41" s="534"/>
      <c r="Y41" s="534"/>
      <c r="Z41" s="534"/>
      <c r="AA41" s="535"/>
      <c r="AB41" s="551"/>
      <c r="AC41" s="552"/>
      <c r="AD41" s="552"/>
      <c r="AE41" s="552"/>
      <c r="AF41" s="552"/>
      <c r="AG41" s="553"/>
      <c r="AH41" s="542"/>
      <c r="AI41" s="543"/>
      <c r="AJ41" s="543"/>
      <c r="AK41" s="543"/>
      <c r="AL41" s="543"/>
      <c r="AM41" s="544"/>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3">
      <c r="A42" s="83"/>
      <c r="B42" s="571"/>
      <c r="C42" s="571"/>
      <c r="D42" s="572"/>
      <c r="E42" s="564"/>
      <c r="F42" s="565"/>
      <c r="G42" s="565"/>
      <c r="H42" s="565"/>
      <c r="I42" s="566"/>
      <c r="J42" s="524" t="str">
        <f>IF(AND('Riesgos gestion'!$H$49="Muy Baja",'Riesgos gestion'!$L$49="Leve"),CONCATENATE("R",'Riesgos gestion'!$A$49),"")</f>
        <v/>
      </c>
      <c r="K42" s="525"/>
      <c r="L42" s="525" t="str">
        <f>IF(AND('Riesgos gestion'!$H$55="Muy Baja",'Riesgos gestion'!$L$55="Leve"),CONCATENATE("R",'Riesgos gestion'!$A$55),"")</f>
        <v/>
      </c>
      <c r="M42" s="525"/>
      <c r="N42" s="525" t="str">
        <f>IF(AND('Riesgos gestion'!$H$61="Muy Baja",'Riesgos gestion'!$L$61="Leve"),CONCATENATE("R",'Riesgos gestion'!$A$61),"")</f>
        <v/>
      </c>
      <c r="O42" s="526"/>
      <c r="P42" s="524" t="str">
        <f>IF(AND('Riesgos gestion'!$H$49="Muy Baja",'Riesgos gestion'!$L$49="Menor"),CONCATENATE("R",'Riesgos gestion'!$A$49),"")</f>
        <v/>
      </c>
      <c r="Q42" s="525"/>
      <c r="R42" s="525" t="str">
        <f>IF(AND('Riesgos gestion'!$H$55="Muy Baja",'Riesgos gestion'!$L$55="Menor"),CONCATENATE("R",'Riesgos gestion'!$A$55),"")</f>
        <v/>
      </c>
      <c r="S42" s="525"/>
      <c r="T42" s="525" t="str">
        <f>IF(AND('Riesgos gestion'!$H$61="Muy Baja",'Riesgos gestion'!$L$61="Menor"),CONCATENATE("R",'Riesgos gestion'!$A$61),"")</f>
        <v/>
      </c>
      <c r="U42" s="526"/>
      <c r="V42" s="533" t="str">
        <f>IF(AND('Riesgos gestion'!$H$49="Muy Baja",'Riesgos gestion'!$L$49="Moderado"),CONCATENATE("R",'Riesgos gestion'!$A$49),"")</f>
        <v/>
      </c>
      <c r="W42" s="534"/>
      <c r="X42" s="534" t="str">
        <f>IF(AND('Riesgos gestion'!$H$55="Muy Baja",'Riesgos gestion'!$L$55="Moderado"),CONCATENATE("R",'Riesgos gestion'!$A$55),"")</f>
        <v/>
      </c>
      <c r="Y42" s="534"/>
      <c r="Z42" s="534" t="str">
        <f>IF(AND('Riesgos gestion'!$H$61="Muy Baja",'Riesgos gestion'!$L$61="Moderado"),CONCATENATE("R",'Riesgos gestion'!$A$61),"")</f>
        <v/>
      </c>
      <c r="AA42" s="535"/>
      <c r="AB42" s="551" t="str">
        <f>IF(AND('Riesgos gestion'!$H$49="Muy Baja",'Riesgos gestion'!$L$49="Mayor"),CONCATENATE("R",'Riesgos gestion'!$A$49),"")</f>
        <v/>
      </c>
      <c r="AC42" s="552"/>
      <c r="AD42" s="552" t="str">
        <f>IF(AND('Riesgos gestion'!$H$55="Muy Baja",'Riesgos gestion'!$L$55="Mayor"),CONCATENATE("R",'Riesgos gestion'!$A$55),"")</f>
        <v/>
      </c>
      <c r="AE42" s="552"/>
      <c r="AF42" s="552" t="str">
        <f>IF(AND('Riesgos gestion'!$H$61="Muy Baja",'Riesgos gestion'!$L$61="Mayor"),CONCATENATE("R",'Riesgos gestion'!$A$61),"")</f>
        <v/>
      </c>
      <c r="AG42" s="553"/>
      <c r="AH42" s="542" t="str">
        <f>IF(AND('Riesgos gestion'!$H$49="Muy Baja",'Riesgos gestion'!$L$49="Catastrófico"),CONCATENATE("R",'Riesgos gestion'!$A$49),"")</f>
        <v/>
      </c>
      <c r="AI42" s="543"/>
      <c r="AJ42" s="543" t="str">
        <f>IF(AND('Riesgos gestion'!$H$55="Muy Baja",'Riesgos gestion'!$L$55="Catastrófico"),CONCATENATE("R",'Riesgos gestion'!$A$55),"")</f>
        <v/>
      </c>
      <c r="AK42" s="543"/>
      <c r="AL42" s="543" t="str">
        <f>IF(AND('Riesgos gestion'!$H$61="Muy Baja",'Riesgos gestion'!$L$61="Catastrófico"),CONCATENATE("R",'Riesgos gestion'!$A$61),"")</f>
        <v/>
      </c>
      <c r="AM42" s="544"/>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3">
      <c r="A43" s="83"/>
      <c r="B43" s="571"/>
      <c r="C43" s="571"/>
      <c r="D43" s="572"/>
      <c r="E43" s="564"/>
      <c r="F43" s="565"/>
      <c r="G43" s="565"/>
      <c r="H43" s="565"/>
      <c r="I43" s="566"/>
      <c r="J43" s="524"/>
      <c r="K43" s="525"/>
      <c r="L43" s="525"/>
      <c r="M43" s="525"/>
      <c r="N43" s="525"/>
      <c r="O43" s="526"/>
      <c r="P43" s="524"/>
      <c r="Q43" s="525"/>
      <c r="R43" s="525"/>
      <c r="S43" s="525"/>
      <c r="T43" s="525"/>
      <c r="U43" s="526"/>
      <c r="V43" s="533"/>
      <c r="W43" s="534"/>
      <c r="X43" s="534"/>
      <c r="Y43" s="534"/>
      <c r="Z43" s="534"/>
      <c r="AA43" s="535"/>
      <c r="AB43" s="551"/>
      <c r="AC43" s="552"/>
      <c r="AD43" s="552"/>
      <c r="AE43" s="552"/>
      <c r="AF43" s="552"/>
      <c r="AG43" s="553"/>
      <c r="AH43" s="542"/>
      <c r="AI43" s="543"/>
      <c r="AJ43" s="543"/>
      <c r="AK43" s="543"/>
      <c r="AL43" s="543"/>
      <c r="AM43" s="544"/>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3">
      <c r="A44" s="83"/>
      <c r="B44" s="571"/>
      <c r="C44" s="571"/>
      <c r="D44" s="572"/>
      <c r="E44" s="564"/>
      <c r="F44" s="565"/>
      <c r="G44" s="565"/>
      <c r="H44" s="565"/>
      <c r="I44" s="566"/>
      <c r="J44" s="524" t="str">
        <f>IF(AND('Riesgos gestion'!$H$67="Muy Baja",'Riesgos gestion'!$L$67="Leve"),CONCATENATE("R",'Riesgos gestion'!$A$67),"")</f>
        <v/>
      </c>
      <c r="K44" s="525"/>
      <c r="L44" s="525" t="str">
        <f>IF(AND('Riesgos gestion'!$H$73="Muy Baja",'Riesgos gestion'!$L$73="Leve"),CONCATENATE("R",'Riesgos gestion'!$A$73),"")</f>
        <v/>
      </c>
      <c r="M44" s="525"/>
      <c r="N44" s="525" t="str">
        <f>IF(AND('Riesgos gestion'!$H$79="Muy Baja",'Riesgos gestion'!$L$79="Leve"),CONCATENATE("R",'Riesgos gestion'!$A$79),"")</f>
        <v/>
      </c>
      <c r="O44" s="526"/>
      <c r="P44" s="524" t="str">
        <f>IF(AND('Riesgos gestion'!$H$67="Muy Baja",'Riesgos gestion'!$L$67="Menor"),CONCATENATE("R",'Riesgos gestion'!$A$67),"")</f>
        <v/>
      </c>
      <c r="Q44" s="525"/>
      <c r="R44" s="525" t="str">
        <f>IF(AND('Riesgos gestion'!$H$73="Muy Baja",'Riesgos gestion'!$L$73="Menor"),CONCATENATE("R",'Riesgos gestion'!$A$73),"")</f>
        <v/>
      </c>
      <c r="S44" s="525"/>
      <c r="T44" s="525" t="str">
        <f>IF(AND('Riesgos gestion'!$H$79="Muy Baja",'Riesgos gestion'!$L$79="Menor"),CONCATENATE("R",'Riesgos gestion'!$A$79),"")</f>
        <v/>
      </c>
      <c r="U44" s="526"/>
      <c r="V44" s="533" t="str">
        <f>IF(AND('Riesgos gestion'!$H$67="Muy Baja",'Riesgos gestion'!$L$67="Moderado"),CONCATENATE("R",'Riesgos gestion'!$A$67),"")</f>
        <v/>
      </c>
      <c r="W44" s="534"/>
      <c r="X44" s="534" t="str">
        <f>IF(AND('Riesgos gestion'!$H$73="Muy Baja",'Riesgos gestion'!$L$73="Moderado"),CONCATENATE("R",'Riesgos gestion'!$A$73),"")</f>
        <v/>
      </c>
      <c r="Y44" s="534"/>
      <c r="Z44" s="534" t="str">
        <f>IF(AND('Riesgos gestion'!$H$79="Muy Baja",'Riesgos gestion'!$L$79="Moderado"),CONCATENATE("R",'Riesgos gestion'!$A$79),"")</f>
        <v/>
      </c>
      <c r="AA44" s="535"/>
      <c r="AB44" s="551" t="str">
        <f>IF(AND('Riesgos gestion'!$H$67="Muy Baja",'Riesgos gestion'!$L$67="Mayor"),CONCATENATE("R",'Riesgos gestion'!$A$67),"")</f>
        <v/>
      </c>
      <c r="AC44" s="552"/>
      <c r="AD44" s="552" t="str">
        <f>IF(AND('Riesgos gestion'!$H$73="Muy Baja",'Riesgos gestion'!$L$73="Mayor"),CONCATENATE("R",'Riesgos gestion'!$A$73),"")</f>
        <v/>
      </c>
      <c r="AE44" s="552"/>
      <c r="AF44" s="552" t="str">
        <f>IF(AND('Riesgos gestion'!$H$79="Muy Baja",'Riesgos gestion'!$L$79="Mayor"),CONCATENATE("R",'Riesgos gestion'!$A$79),"")</f>
        <v/>
      </c>
      <c r="AG44" s="553"/>
      <c r="AH44" s="542" t="str">
        <f>IF(AND('Riesgos gestion'!$H$67="Muy Baja",'Riesgos gestion'!$L$67="Catastrófico"),CONCATENATE("R",'Riesgos gestion'!$A$67),"")</f>
        <v/>
      </c>
      <c r="AI44" s="543"/>
      <c r="AJ44" s="543" t="str">
        <f>IF(AND('Riesgos gestion'!$H$73="Muy Baja",'Riesgos gestion'!$L$73="Catastrófico"),CONCATENATE("R",'Riesgos gestion'!$A$73),"")</f>
        <v/>
      </c>
      <c r="AK44" s="543"/>
      <c r="AL44" s="543" t="str">
        <f>IF(AND('Riesgos gestion'!$H$79="Muy Baja",'Riesgos gestion'!$L$79="Catastrófico"),CONCATENATE("R",'Riesgos gestion'!$A$79),"")</f>
        <v/>
      </c>
      <c r="AM44" s="544"/>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 thickBot="1" x14ac:dyDescent="0.35">
      <c r="A45" s="83"/>
      <c r="B45" s="571"/>
      <c r="C45" s="571"/>
      <c r="D45" s="572"/>
      <c r="E45" s="567"/>
      <c r="F45" s="568"/>
      <c r="G45" s="568"/>
      <c r="H45" s="568"/>
      <c r="I45" s="569"/>
      <c r="J45" s="527"/>
      <c r="K45" s="528"/>
      <c r="L45" s="528"/>
      <c r="M45" s="528"/>
      <c r="N45" s="528"/>
      <c r="O45" s="529"/>
      <c r="P45" s="527"/>
      <c r="Q45" s="528"/>
      <c r="R45" s="528"/>
      <c r="S45" s="528"/>
      <c r="T45" s="528"/>
      <c r="U45" s="529"/>
      <c r="V45" s="536"/>
      <c r="W45" s="537"/>
      <c r="X45" s="537"/>
      <c r="Y45" s="537"/>
      <c r="Z45" s="537"/>
      <c r="AA45" s="538"/>
      <c r="AB45" s="554"/>
      <c r="AC45" s="555"/>
      <c r="AD45" s="555"/>
      <c r="AE45" s="555"/>
      <c r="AF45" s="555"/>
      <c r="AG45" s="556"/>
      <c r="AH45" s="545"/>
      <c r="AI45" s="546"/>
      <c r="AJ45" s="546"/>
      <c r="AK45" s="546"/>
      <c r="AL45" s="546"/>
      <c r="AM45" s="547"/>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3">
      <c r="A46" s="83"/>
      <c r="B46" s="83"/>
      <c r="C46" s="83"/>
      <c r="D46" s="83"/>
      <c r="E46" s="83"/>
      <c r="F46" s="83"/>
      <c r="G46" s="83"/>
      <c r="H46" s="83"/>
      <c r="I46" s="83"/>
      <c r="J46" s="561" t="s">
        <v>325</v>
      </c>
      <c r="K46" s="562"/>
      <c r="L46" s="562"/>
      <c r="M46" s="562"/>
      <c r="N46" s="562"/>
      <c r="O46" s="563"/>
      <c r="P46" s="561" t="s">
        <v>326</v>
      </c>
      <c r="Q46" s="562"/>
      <c r="R46" s="562"/>
      <c r="S46" s="562"/>
      <c r="T46" s="562"/>
      <c r="U46" s="563"/>
      <c r="V46" s="561" t="s">
        <v>327</v>
      </c>
      <c r="W46" s="562"/>
      <c r="X46" s="562"/>
      <c r="Y46" s="562"/>
      <c r="Z46" s="562"/>
      <c r="AA46" s="563"/>
      <c r="AB46" s="561" t="s">
        <v>328</v>
      </c>
      <c r="AC46" s="570"/>
      <c r="AD46" s="562"/>
      <c r="AE46" s="562"/>
      <c r="AF46" s="562"/>
      <c r="AG46" s="563"/>
      <c r="AH46" s="561" t="s">
        <v>329</v>
      </c>
      <c r="AI46" s="562"/>
      <c r="AJ46" s="562"/>
      <c r="AK46" s="562"/>
      <c r="AL46" s="562"/>
      <c r="AM46" s="56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3">
      <c r="A47" s="83"/>
      <c r="B47" s="83"/>
      <c r="C47" s="83"/>
      <c r="D47" s="83"/>
      <c r="E47" s="83"/>
      <c r="F47" s="83"/>
      <c r="G47" s="83"/>
      <c r="H47" s="83"/>
      <c r="I47" s="83"/>
      <c r="J47" s="564"/>
      <c r="K47" s="565"/>
      <c r="L47" s="565"/>
      <c r="M47" s="565"/>
      <c r="N47" s="565"/>
      <c r="O47" s="566"/>
      <c r="P47" s="564"/>
      <c r="Q47" s="565"/>
      <c r="R47" s="565"/>
      <c r="S47" s="565"/>
      <c r="T47" s="565"/>
      <c r="U47" s="566"/>
      <c r="V47" s="564"/>
      <c r="W47" s="565"/>
      <c r="X47" s="565"/>
      <c r="Y47" s="565"/>
      <c r="Z47" s="565"/>
      <c r="AA47" s="566"/>
      <c r="AB47" s="564"/>
      <c r="AC47" s="565"/>
      <c r="AD47" s="565"/>
      <c r="AE47" s="565"/>
      <c r="AF47" s="565"/>
      <c r="AG47" s="566"/>
      <c r="AH47" s="564"/>
      <c r="AI47" s="565"/>
      <c r="AJ47" s="565"/>
      <c r="AK47" s="565"/>
      <c r="AL47" s="565"/>
      <c r="AM47" s="566"/>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3">
      <c r="A48" s="83"/>
      <c r="B48" s="83"/>
      <c r="C48" s="83"/>
      <c r="D48" s="83"/>
      <c r="E48" s="83"/>
      <c r="F48" s="83"/>
      <c r="G48" s="83"/>
      <c r="H48" s="83"/>
      <c r="I48" s="83"/>
      <c r="J48" s="564"/>
      <c r="K48" s="565"/>
      <c r="L48" s="565"/>
      <c r="M48" s="565"/>
      <c r="N48" s="565"/>
      <c r="O48" s="566"/>
      <c r="P48" s="564"/>
      <c r="Q48" s="565"/>
      <c r="R48" s="565"/>
      <c r="S48" s="565"/>
      <c r="T48" s="565"/>
      <c r="U48" s="566"/>
      <c r="V48" s="564"/>
      <c r="W48" s="565"/>
      <c r="X48" s="565"/>
      <c r="Y48" s="565"/>
      <c r="Z48" s="565"/>
      <c r="AA48" s="566"/>
      <c r="AB48" s="564"/>
      <c r="AC48" s="565"/>
      <c r="AD48" s="565"/>
      <c r="AE48" s="565"/>
      <c r="AF48" s="565"/>
      <c r="AG48" s="566"/>
      <c r="AH48" s="564"/>
      <c r="AI48" s="565"/>
      <c r="AJ48" s="565"/>
      <c r="AK48" s="565"/>
      <c r="AL48" s="565"/>
      <c r="AM48" s="566"/>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3">
      <c r="A49" s="83"/>
      <c r="B49" s="83"/>
      <c r="C49" s="83"/>
      <c r="D49" s="83"/>
      <c r="E49" s="83"/>
      <c r="F49" s="83"/>
      <c r="G49" s="83"/>
      <c r="H49" s="83"/>
      <c r="I49" s="83"/>
      <c r="J49" s="564"/>
      <c r="K49" s="565"/>
      <c r="L49" s="565"/>
      <c r="M49" s="565"/>
      <c r="N49" s="565"/>
      <c r="O49" s="566"/>
      <c r="P49" s="564"/>
      <c r="Q49" s="565"/>
      <c r="R49" s="565"/>
      <c r="S49" s="565"/>
      <c r="T49" s="565"/>
      <c r="U49" s="566"/>
      <c r="V49" s="564"/>
      <c r="W49" s="565"/>
      <c r="X49" s="565"/>
      <c r="Y49" s="565"/>
      <c r="Z49" s="565"/>
      <c r="AA49" s="566"/>
      <c r="AB49" s="564"/>
      <c r="AC49" s="565"/>
      <c r="AD49" s="565"/>
      <c r="AE49" s="565"/>
      <c r="AF49" s="565"/>
      <c r="AG49" s="566"/>
      <c r="AH49" s="564"/>
      <c r="AI49" s="565"/>
      <c r="AJ49" s="565"/>
      <c r="AK49" s="565"/>
      <c r="AL49" s="565"/>
      <c r="AM49" s="56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3">
      <c r="A50" s="83"/>
      <c r="B50" s="83"/>
      <c r="C50" s="83"/>
      <c r="D50" s="83"/>
      <c r="E50" s="83"/>
      <c r="F50" s="83"/>
      <c r="G50" s="83"/>
      <c r="H50" s="83"/>
      <c r="I50" s="83"/>
      <c r="J50" s="564"/>
      <c r="K50" s="565"/>
      <c r="L50" s="565"/>
      <c r="M50" s="565"/>
      <c r="N50" s="565"/>
      <c r="O50" s="566"/>
      <c r="P50" s="564"/>
      <c r="Q50" s="565"/>
      <c r="R50" s="565"/>
      <c r="S50" s="565"/>
      <c r="T50" s="565"/>
      <c r="U50" s="566"/>
      <c r="V50" s="564"/>
      <c r="W50" s="565"/>
      <c r="X50" s="565"/>
      <c r="Y50" s="565"/>
      <c r="Z50" s="565"/>
      <c r="AA50" s="566"/>
      <c r="AB50" s="564"/>
      <c r="AC50" s="565"/>
      <c r="AD50" s="565"/>
      <c r="AE50" s="565"/>
      <c r="AF50" s="565"/>
      <c r="AG50" s="566"/>
      <c r="AH50" s="564"/>
      <c r="AI50" s="565"/>
      <c r="AJ50" s="565"/>
      <c r="AK50" s="565"/>
      <c r="AL50" s="565"/>
      <c r="AM50" s="566"/>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thickBot="1" x14ac:dyDescent="0.35">
      <c r="A51" s="83"/>
      <c r="B51" s="83"/>
      <c r="C51" s="83"/>
      <c r="D51" s="83"/>
      <c r="E51" s="83"/>
      <c r="F51" s="83"/>
      <c r="G51" s="83"/>
      <c r="H51" s="83"/>
      <c r="I51" s="83"/>
      <c r="J51" s="567"/>
      <c r="K51" s="568"/>
      <c r="L51" s="568"/>
      <c r="M51" s="568"/>
      <c r="N51" s="568"/>
      <c r="O51" s="569"/>
      <c r="P51" s="567"/>
      <c r="Q51" s="568"/>
      <c r="R51" s="568"/>
      <c r="S51" s="568"/>
      <c r="T51" s="568"/>
      <c r="U51" s="569"/>
      <c r="V51" s="567"/>
      <c r="W51" s="568"/>
      <c r="X51" s="568"/>
      <c r="Y51" s="568"/>
      <c r="Z51" s="568"/>
      <c r="AA51" s="569"/>
      <c r="AB51" s="567"/>
      <c r="AC51" s="568"/>
      <c r="AD51" s="568"/>
      <c r="AE51" s="568"/>
      <c r="AF51" s="568"/>
      <c r="AG51" s="569"/>
      <c r="AH51" s="567"/>
      <c r="AI51" s="568"/>
      <c r="AJ51" s="568"/>
      <c r="AK51" s="568"/>
      <c r="AL51" s="568"/>
      <c r="AM51" s="569"/>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3">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3">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3">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3">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3">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3">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3">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3">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3">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3">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3">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3">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3">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3">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3">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3">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3">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3">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3">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3">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3">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3">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3">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3">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3">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3">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3">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3">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3">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3">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3">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3">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3">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3">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3">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3">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3">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3">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3">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3">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3">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3">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3">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3">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3">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3">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3">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3">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3">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3">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3">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3">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3">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3">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3">
      <c r="B137" s="83"/>
      <c r="C137" s="83"/>
      <c r="D137" s="83"/>
      <c r="E137" s="83"/>
      <c r="F137" s="83"/>
      <c r="G137" s="83"/>
      <c r="H137" s="83"/>
      <c r="I137" s="83"/>
    </row>
    <row r="138" spans="2:63" x14ac:dyDescent="0.3">
      <c r="B138" s="83"/>
      <c r="C138" s="83"/>
      <c r="D138" s="83"/>
      <c r="E138" s="83"/>
      <c r="F138" s="83"/>
      <c r="G138" s="83"/>
      <c r="H138" s="83"/>
      <c r="I138" s="83"/>
    </row>
    <row r="139" spans="2:63" x14ac:dyDescent="0.3">
      <c r="B139" s="83"/>
      <c r="C139" s="83"/>
      <c r="D139" s="83"/>
      <c r="E139" s="83"/>
      <c r="F139" s="83"/>
      <c r="G139" s="83"/>
      <c r="H139" s="83"/>
      <c r="I139" s="83"/>
    </row>
    <row r="140" spans="2:63" x14ac:dyDescent="0.3">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248"/>
  <sheetViews>
    <sheetView topLeftCell="H1" zoomScale="75" zoomScaleNormal="75" workbookViewId="0">
      <selection activeCell="AB37" sqref="AB37"/>
    </sheetView>
  </sheetViews>
  <sheetFormatPr baseColWidth="10" defaultColWidth="11.44140625"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3">
      <c r="A2" s="83"/>
      <c r="B2" s="638" t="s">
        <v>330</v>
      </c>
      <c r="C2" s="639"/>
      <c r="D2" s="639"/>
      <c r="E2" s="639"/>
      <c r="F2" s="639"/>
      <c r="G2" s="639"/>
      <c r="H2" s="639"/>
      <c r="I2" s="639"/>
      <c r="J2" s="560" t="s">
        <v>19</v>
      </c>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3">
      <c r="A3" s="83"/>
      <c r="B3" s="639"/>
      <c r="C3" s="639"/>
      <c r="D3" s="639"/>
      <c r="E3" s="639"/>
      <c r="F3" s="639"/>
      <c r="G3" s="639"/>
      <c r="H3" s="639"/>
      <c r="I3" s="639"/>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3">
      <c r="A4" s="83"/>
      <c r="B4" s="639"/>
      <c r="C4" s="639"/>
      <c r="D4" s="639"/>
      <c r="E4" s="639"/>
      <c r="F4" s="639"/>
      <c r="G4" s="639"/>
      <c r="H4" s="639"/>
      <c r="I4" s="639"/>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 thickBot="1" x14ac:dyDescent="0.3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3">
      <c r="A6" s="83"/>
      <c r="B6" s="571" t="s">
        <v>315</v>
      </c>
      <c r="C6" s="571"/>
      <c r="D6" s="572"/>
      <c r="E6" s="609" t="s">
        <v>316</v>
      </c>
      <c r="F6" s="610"/>
      <c r="G6" s="610"/>
      <c r="H6" s="610"/>
      <c r="I6" s="611"/>
      <c r="J6" s="46" t="str">
        <f>IF(AND('Riesgos gestion'!$Z$13="Muy Alta",'Riesgos gestion'!$AB$13="Leve"),CONCATENATE("R1C",'Riesgos gestion'!$P$13),"")</f>
        <v/>
      </c>
      <c r="K6" s="47" t="str">
        <f>IF(AND('Riesgos gestion'!$Z$14="Muy Alta",'Riesgos gestion'!$AB$14="Leve"),CONCATENATE("R1C",'Riesgos gestion'!$P$14),"")</f>
        <v/>
      </c>
      <c r="L6" s="47" t="str">
        <f>IF(AND('Riesgos gestion'!$Z$15="Muy Alta",'Riesgos gestion'!$AB$15="Leve"),CONCATENATE("R1C",'Riesgos gestion'!$P$15),"")</f>
        <v/>
      </c>
      <c r="M6" s="47" t="str">
        <f>IF(AND('Riesgos gestion'!$Z$16="Muy Alta",'Riesgos gestion'!$AB$16="Leve"),CONCATENATE("R1C",'Riesgos gestion'!$P$16),"")</f>
        <v/>
      </c>
      <c r="N6" s="47" t="str">
        <f>IF(AND('Riesgos gestion'!$Z$17="Muy Alta",'Riesgos gestion'!$AB$17="Leve"),CONCATENATE("R1C",'Riesgos gestion'!$P$17),"")</f>
        <v/>
      </c>
      <c r="O6" s="48" t="e">
        <f>IF(AND('Riesgos gestion'!#REF!="Muy Alta",'Riesgos gestion'!#REF!="Leve"),CONCATENATE("R1C",'Riesgos gestion'!#REF!),"")</f>
        <v>#REF!</v>
      </c>
      <c r="P6" s="46" t="str">
        <f>IF(AND('Riesgos gestion'!$Z$13="Muy Alta",'Riesgos gestion'!$AB$13="Menor"),CONCATENATE("R1C",'Riesgos gestion'!$P$13),"")</f>
        <v/>
      </c>
      <c r="Q6" s="47" t="str">
        <f>IF(AND('Riesgos gestion'!$Z$14="Muy Alta",'Riesgos gestion'!$AB$14="Menor"),CONCATENATE("R1C",'Riesgos gestion'!$P$14),"")</f>
        <v/>
      </c>
      <c r="R6" s="47" t="str">
        <f>IF(AND('Riesgos gestion'!$Z$15="Muy Alta",'Riesgos gestion'!$AB$15="Menor"),CONCATENATE("R1C",'Riesgos gestion'!$P$15),"")</f>
        <v/>
      </c>
      <c r="S6" s="47" t="str">
        <f>IF(AND('Riesgos gestion'!$Z$16="Muy Alta",'Riesgos gestion'!$AB$16="Menor"),CONCATENATE("R1C",'Riesgos gestion'!$P$16),"")</f>
        <v/>
      </c>
      <c r="T6" s="47" t="str">
        <f>IF(AND('Riesgos gestion'!$Z$17="Muy Alta",'Riesgos gestion'!$AB$17="Menor"),CONCATENATE("R1C",'Riesgos gestion'!$P$17),"")</f>
        <v/>
      </c>
      <c r="U6" s="48" t="e">
        <f>IF(AND('Riesgos gestion'!#REF!="Muy Alta",'Riesgos gestion'!#REF!="Menor"),CONCATENATE("R1C",'Riesgos gestion'!#REF!),"")</f>
        <v>#REF!</v>
      </c>
      <c r="V6" s="46" t="str">
        <f>IF(AND('Riesgos gestion'!$Z$13="Muy Alta",'Riesgos gestion'!$AB$13="Moderado"),CONCATENATE("R1C",'Riesgos gestion'!$P$13),"")</f>
        <v/>
      </c>
      <c r="W6" s="47" t="str">
        <f>IF(AND('Riesgos gestion'!$Z$14="Muy Alta",'Riesgos gestion'!$AB$14="Moderado"),CONCATENATE("R1C",'Riesgos gestion'!$P$14),"")</f>
        <v/>
      </c>
      <c r="X6" s="47" t="str">
        <f>IF(AND('Riesgos gestion'!$Z$15="Muy Alta",'Riesgos gestion'!$AB$15="Moderado"),CONCATENATE("R1C",'Riesgos gestion'!$P$15),"")</f>
        <v/>
      </c>
      <c r="Y6" s="47" t="str">
        <f>IF(AND('Riesgos gestion'!$Z$16="Muy Alta",'Riesgos gestion'!$AB$16="Moderado"),CONCATENATE("R1C",'Riesgos gestion'!$P$16),"")</f>
        <v/>
      </c>
      <c r="Z6" s="47" t="str">
        <f>IF(AND('Riesgos gestion'!$Z$17="Muy Alta",'Riesgos gestion'!$AB$17="Moderado"),CONCATENATE("R1C",'Riesgos gestion'!$P$17),"")</f>
        <v/>
      </c>
      <c r="AA6" s="48" t="e">
        <f>IF(AND('Riesgos gestion'!#REF!="Muy Alta",'Riesgos gestion'!#REF!="Moderado"),CONCATENATE("R1C",'Riesgos gestion'!#REF!),"")</f>
        <v>#REF!</v>
      </c>
      <c r="AB6" s="46" t="str">
        <f>IF(AND('Riesgos gestion'!$Z$13="Muy Alta",'Riesgos gestion'!$AB$13="Mayor"),CONCATENATE("R1C",'Riesgos gestion'!$P$13),"")</f>
        <v/>
      </c>
      <c r="AC6" s="47" t="str">
        <f>IF(AND('Riesgos gestion'!$Z$14="Muy Alta",'Riesgos gestion'!$AB$14="Mayor"),CONCATENATE("R1C",'Riesgos gestion'!$P$14),"")</f>
        <v/>
      </c>
      <c r="AD6" s="47" t="str">
        <f>IF(AND('Riesgos gestion'!$Z$15="Muy Alta",'Riesgos gestion'!$AB$15="Mayor"),CONCATENATE("R1C",'Riesgos gestion'!$P$15),"")</f>
        <v/>
      </c>
      <c r="AE6" s="47" t="str">
        <f>IF(AND('Riesgos gestion'!$Z$16="Muy Alta",'Riesgos gestion'!$AB$16="Mayor"),CONCATENATE("R1C",'Riesgos gestion'!$P$16),"")</f>
        <v/>
      </c>
      <c r="AF6" s="47" t="str">
        <f>IF(AND('Riesgos gestion'!$Z$17="Muy Alta",'Riesgos gestion'!$AB$17="Mayor"),CONCATENATE("R1C",'Riesgos gestion'!$P$17),"")</f>
        <v/>
      </c>
      <c r="AG6" s="48" t="e">
        <f>IF(AND('Riesgos gestion'!#REF!="Muy Alta",'Riesgos gestion'!#REF!="Mayor"),CONCATENATE("R1C",'Riesgos gestion'!#REF!),"")</f>
        <v>#REF!</v>
      </c>
      <c r="AH6" s="49" t="str">
        <f>IF(AND('Riesgos gestion'!$Z$13="Muy Alta",'Riesgos gestion'!$AB$13="Catastrófico"),CONCATENATE("R1C",'Riesgos gestion'!$P$13),"")</f>
        <v/>
      </c>
      <c r="AI6" s="50" t="str">
        <f>IF(AND('Riesgos gestion'!$Z$14="Muy Alta",'Riesgos gestion'!$AB$14="Catastrófico"),CONCATENATE("R1C",'Riesgos gestion'!$P$14),"")</f>
        <v/>
      </c>
      <c r="AJ6" s="50" t="str">
        <f>IF(AND('Riesgos gestion'!$Z$15="Muy Alta",'Riesgos gestion'!$AB$15="Catastrófico"),CONCATENATE("R1C",'Riesgos gestion'!$P$15),"")</f>
        <v/>
      </c>
      <c r="AK6" s="50" t="str">
        <f>IF(AND('Riesgos gestion'!$Z$16="Muy Alta",'Riesgos gestion'!$AB$16="Catastrófico"),CONCATENATE("R1C",'Riesgos gestion'!$P$16),"")</f>
        <v/>
      </c>
      <c r="AL6" s="50" t="str">
        <f>IF(AND('Riesgos gestion'!$Z$17="Muy Alta",'Riesgos gestion'!$AB$17="Catastrófico"),CONCATENATE("R1C",'Riesgos gestion'!$P$17),"")</f>
        <v/>
      </c>
      <c r="AM6" s="51" t="e">
        <f>IF(AND('Riesgos gestion'!#REF!="Muy Alta",'Riesgos gestion'!#REF!="Catastrófico"),CONCATENATE("R1C",'Riesgos gestion'!#REF!),"")</f>
        <v>#REF!</v>
      </c>
      <c r="AN6" s="83"/>
      <c r="AO6" s="629" t="s">
        <v>317</v>
      </c>
      <c r="AP6" s="630"/>
      <c r="AQ6" s="630"/>
      <c r="AR6" s="630"/>
      <c r="AS6" s="630"/>
      <c r="AT6" s="631"/>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3">
      <c r="A7" s="83"/>
      <c r="B7" s="571"/>
      <c r="C7" s="571"/>
      <c r="D7" s="572"/>
      <c r="E7" s="612"/>
      <c r="F7" s="613"/>
      <c r="G7" s="613"/>
      <c r="H7" s="613"/>
      <c r="I7" s="614"/>
      <c r="J7" s="52" t="str">
        <f>IF(AND('Riesgos gestion'!$Z$19="Muy Alta",'Riesgos gestion'!$AB$19="Leve"),CONCATENATE("R2C",'Riesgos gestion'!$P$19),"")</f>
        <v/>
      </c>
      <c r="K7" s="53" t="str">
        <f>IF(AND('Riesgos gestion'!$Z$20="Muy Alta",'Riesgos gestion'!$AB$20="Leve"),CONCATENATE("R2C",'Riesgos gestion'!$P$20),"")</f>
        <v/>
      </c>
      <c r="L7" s="53" t="str">
        <f>IF(AND('Riesgos gestion'!$Z$21="Muy Alta",'Riesgos gestion'!$AB$21="Leve"),CONCATENATE("R2C",'Riesgos gestion'!$P$21),"")</f>
        <v/>
      </c>
      <c r="M7" s="53" t="str">
        <f>IF(AND('Riesgos gestion'!$Z$22="Muy Alta",'Riesgos gestion'!$AB$22="Leve"),CONCATENATE("R2C",'Riesgos gestion'!$P$22),"")</f>
        <v/>
      </c>
      <c r="N7" s="53" t="str">
        <f>IF(AND('Riesgos gestion'!$Z$23="Muy Alta",'Riesgos gestion'!$AB$23="Leve"),CONCATENATE("R2C",'Riesgos gestion'!$P$23),"")</f>
        <v/>
      </c>
      <c r="O7" s="54" t="str">
        <f>IF(AND('Riesgos gestion'!$Z$24="Muy Alta",'Riesgos gestion'!$AB$24="Leve"),CONCATENATE("R2C",'Riesgos gestion'!$P$24),"")</f>
        <v/>
      </c>
      <c r="P7" s="52" t="str">
        <f>IF(AND('Riesgos gestion'!$Z$19="Muy Alta",'Riesgos gestion'!$AB$19="Menor"),CONCATENATE("R2C",'Riesgos gestion'!$P$19),"")</f>
        <v/>
      </c>
      <c r="Q7" s="53" t="str">
        <f>IF(AND('Riesgos gestion'!$Z$20="Muy Alta",'Riesgos gestion'!$AB$20="Menor"),CONCATENATE("R2C",'Riesgos gestion'!$P$20),"")</f>
        <v/>
      </c>
      <c r="R7" s="53" t="str">
        <f>IF(AND('Riesgos gestion'!$Z$21="Muy Alta",'Riesgos gestion'!$AB$21="Menor"),CONCATENATE("R2C",'Riesgos gestion'!$P$21),"")</f>
        <v/>
      </c>
      <c r="S7" s="53" t="str">
        <f>IF(AND('Riesgos gestion'!$Z$22="Muy Alta",'Riesgos gestion'!$AB$22="Menor"),CONCATENATE("R2C",'Riesgos gestion'!$P$22),"")</f>
        <v/>
      </c>
      <c r="T7" s="53" t="str">
        <f>IF(AND('Riesgos gestion'!$Z$23="Muy Alta",'Riesgos gestion'!$AB$23="Menor"),CONCATENATE("R2C",'Riesgos gestion'!$P$23),"")</f>
        <v/>
      </c>
      <c r="U7" s="54" t="str">
        <f>IF(AND('Riesgos gestion'!$Z$24="Muy Alta",'Riesgos gestion'!$AB$24="Menor"),CONCATENATE("R2C",'Riesgos gestion'!$P$24),"")</f>
        <v/>
      </c>
      <c r="V7" s="52" t="str">
        <f>IF(AND('Riesgos gestion'!$Z$19="Muy Alta",'Riesgos gestion'!$AB$19="Moderado"),CONCATENATE("R2C",'Riesgos gestion'!$P$19),"")</f>
        <v/>
      </c>
      <c r="W7" s="53" t="str">
        <f>IF(AND('Riesgos gestion'!$Z$20="Muy Alta",'Riesgos gestion'!$AB$20="Moderado"),CONCATENATE("R2C",'Riesgos gestion'!$P$20),"")</f>
        <v/>
      </c>
      <c r="X7" s="53" t="str">
        <f>IF(AND('Riesgos gestion'!$Z$21="Muy Alta",'Riesgos gestion'!$AB$21="Moderado"),CONCATENATE("R2C",'Riesgos gestion'!$P$21),"")</f>
        <v/>
      </c>
      <c r="Y7" s="53" t="str">
        <f>IF(AND('Riesgos gestion'!$Z$22="Muy Alta",'Riesgos gestion'!$AB$22="Moderado"),CONCATENATE("R2C",'Riesgos gestion'!$P$22),"")</f>
        <v/>
      </c>
      <c r="Z7" s="53" t="str">
        <f>IF(AND('Riesgos gestion'!$Z$23="Muy Alta",'Riesgos gestion'!$AB$23="Moderado"),CONCATENATE("R2C",'Riesgos gestion'!$P$23),"")</f>
        <v/>
      </c>
      <c r="AA7" s="54" t="str">
        <f>IF(AND('Riesgos gestion'!$Z$24="Muy Alta",'Riesgos gestion'!$AB$24="Moderado"),CONCATENATE("R2C",'Riesgos gestion'!$P$24),"")</f>
        <v/>
      </c>
      <c r="AB7" s="52" t="str">
        <f>IF(AND('Riesgos gestion'!$Z$19="Muy Alta",'Riesgos gestion'!$AB$19="Mayor"),CONCATENATE("R2C",'Riesgos gestion'!$P$19),"")</f>
        <v/>
      </c>
      <c r="AC7" s="53" t="str">
        <f>IF(AND('Riesgos gestion'!$Z$20="Muy Alta",'Riesgos gestion'!$AB$20="Mayor"),CONCATENATE("R2C",'Riesgos gestion'!$P$20),"")</f>
        <v/>
      </c>
      <c r="AD7" s="53" t="str">
        <f>IF(AND('Riesgos gestion'!$Z$21="Muy Alta",'Riesgos gestion'!$AB$21="Mayor"),CONCATENATE("R2C",'Riesgos gestion'!$P$21),"")</f>
        <v/>
      </c>
      <c r="AE7" s="53" t="str">
        <f>IF(AND('Riesgos gestion'!$Z$22="Muy Alta",'Riesgos gestion'!$AB$22="Mayor"),CONCATENATE("R2C",'Riesgos gestion'!$P$22),"")</f>
        <v/>
      </c>
      <c r="AF7" s="53" t="str">
        <f>IF(AND('Riesgos gestion'!$Z$23="Muy Alta",'Riesgos gestion'!$AB$23="Mayor"),CONCATENATE("R2C",'Riesgos gestion'!$P$23),"")</f>
        <v/>
      </c>
      <c r="AG7" s="54" t="str">
        <f>IF(AND('Riesgos gestion'!$Z$24="Muy Alta",'Riesgos gestion'!$AB$24="Mayor"),CONCATENATE("R2C",'Riesgos gestion'!$P$24),"")</f>
        <v/>
      </c>
      <c r="AH7" s="55" t="str">
        <f>IF(AND('Riesgos gestion'!$Z$19="Muy Alta",'Riesgos gestion'!$AB$19="Catastrófico"),CONCATENATE("R2C",'Riesgos gestion'!$P$19),"")</f>
        <v/>
      </c>
      <c r="AI7" s="56" t="str">
        <f>IF(AND('Riesgos gestion'!$Z$20="Muy Alta",'Riesgos gestion'!$AB$20="Catastrófico"),CONCATENATE("R2C",'Riesgos gestion'!$P$20),"")</f>
        <v/>
      </c>
      <c r="AJ7" s="56" t="str">
        <f>IF(AND('Riesgos gestion'!$Z$21="Muy Alta",'Riesgos gestion'!$AB$21="Catastrófico"),CONCATENATE("R2C",'Riesgos gestion'!$P$21),"")</f>
        <v/>
      </c>
      <c r="AK7" s="56" t="str">
        <f>IF(AND('Riesgos gestion'!$Z$22="Muy Alta",'Riesgos gestion'!$AB$22="Catastrófico"),CONCATENATE("R2C",'Riesgos gestion'!$P$22),"")</f>
        <v/>
      </c>
      <c r="AL7" s="56" t="str">
        <f>IF(AND('Riesgos gestion'!$Z$23="Muy Alta",'Riesgos gestion'!$AB$23="Catastrófico"),CONCATENATE("R2C",'Riesgos gestion'!$P$23),"")</f>
        <v/>
      </c>
      <c r="AM7" s="57" t="str">
        <f>IF(AND('Riesgos gestion'!$Z$24="Muy Alta",'Riesgos gestion'!$AB$24="Catastrófico"),CONCATENATE("R2C",'Riesgos gestion'!$P$24),"")</f>
        <v/>
      </c>
      <c r="AN7" s="83"/>
      <c r="AO7" s="632"/>
      <c r="AP7" s="633"/>
      <c r="AQ7" s="633"/>
      <c r="AR7" s="633"/>
      <c r="AS7" s="633"/>
      <c r="AT7" s="634"/>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3">
      <c r="A8" s="83"/>
      <c r="B8" s="571"/>
      <c r="C8" s="571"/>
      <c r="D8" s="572"/>
      <c r="E8" s="612"/>
      <c r="F8" s="613"/>
      <c r="G8" s="613"/>
      <c r="H8" s="613"/>
      <c r="I8" s="614"/>
      <c r="J8" s="52" t="str">
        <f>IF(AND('Riesgos gestion'!$Z$25="Muy Alta",'Riesgos gestion'!$AB$25="Leve"),CONCATENATE("R3C",'Riesgos gestion'!$P$25),"")</f>
        <v/>
      </c>
      <c r="K8" s="53" t="str">
        <f>IF(AND('Riesgos gestion'!$Z$26="Muy Alta",'Riesgos gestion'!$AB$26="Leve"),CONCATENATE("R3C",'Riesgos gestion'!$P$26),"")</f>
        <v/>
      </c>
      <c r="L8" s="53" t="str">
        <f>IF(AND('Riesgos gestion'!$Z$27="Muy Alta",'Riesgos gestion'!$AB$27="Leve"),CONCATENATE("R3C",'Riesgos gestion'!$P$27),"")</f>
        <v/>
      </c>
      <c r="M8" s="53" t="str">
        <f>IF(AND('Riesgos gestion'!$Z$28="Muy Alta",'Riesgos gestion'!$AB$28="Leve"),CONCATENATE("R3C",'Riesgos gestion'!$P$28),"")</f>
        <v/>
      </c>
      <c r="N8" s="53" t="str">
        <f>IF(AND('Riesgos gestion'!$Z$29="Muy Alta",'Riesgos gestion'!$AB$29="Leve"),CONCATENATE("R3C",'Riesgos gestion'!$P$29),"")</f>
        <v/>
      </c>
      <c r="O8" s="54" t="str">
        <f>IF(AND('Riesgos gestion'!$Z$30="Muy Alta",'Riesgos gestion'!$AB$30="Leve"),CONCATENATE("R3C",'Riesgos gestion'!$P$30),"")</f>
        <v/>
      </c>
      <c r="P8" s="52" t="str">
        <f>IF(AND('Riesgos gestion'!$Z$25="Muy Alta",'Riesgos gestion'!$AB$25="Menor"),CONCATENATE("R3C",'Riesgos gestion'!$P$25),"")</f>
        <v/>
      </c>
      <c r="Q8" s="53" t="str">
        <f>IF(AND('Riesgos gestion'!$Z$26="Muy Alta",'Riesgos gestion'!$AB$26="Menor"),CONCATENATE("R3C",'Riesgos gestion'!$P$26),"")</f>
        <v/>
      </c>
      <c r="R8" s="53" t="str">
        <f>IF(AND('Riesgos gestion'!$Z$27="Muy Alta",'Riesgos gestion'!$AB$27="Menor"),CONCATENATE("R3C",'Riesgos gestion'!$P$27),"")</f>
        <v/>
      </c>
      <c r="S8" s="53" t="str">
        <f>IF(AND('Riesgos gestion'!$Z$28="Muy Alta",'Riesgos gestion'!$AB$28="Menor"),CONCATENATE("R3C",'Riesgos gestion'!$P$28),"")</f>
        <v/>
      </c>
      <c r="T8" s="53" t="str">
        <f>IF(AND('Riesgos gestion'!$Z$29="Muy Alta",'Riesgos gestion'!$AB$29="Menor"),CONCATENATE("R3C",'Riesgos gestion'!$P$29),"")</f>
        <v/>
      </c>
      <c r="U8" s="54" t="str">
        <f>IF(AND('Riesgos gestion'!$Z$30="Muy Alta",'Riesgos gestion'!$AB$30="Menor"),CONCATENATE("R3C",'Riesgos gestion'!$P$30),"")</f>
        <v/>
      </c>
      <c r="V8" s="52" t="str">
        <f>IF(AND('Riesgos gestion'!$Z$25="Muy Alta",'Riesgos gestion'!$AB$25="Moderado"),CONCATENATE("R3C",'Riesgos gestion'!$P$25),"")</f>
        <v/>
      </c>
      <c r="W8" s="53" t="str">
        <f>IF(AND('Riesgos gestion'!$Z$26="Muy Alta",'Riesgos gestion'!$AB$26="Moderado"),CONCATENATE("R3C",'Riesgos gestion'!$P$26),"")</f>
        <v/>
      </c>
      <c r="X8" s="53" t="str">
        <f>IF(AND('Riesgos gestion'!$Z$27="Muy Alta",'Riesgos gestion'!$AB$27="Moderado"),CONCATENATE("R3C",'Riesgos gestion'!$P$27),"")</f>
        <v/>
      </c>
      <c r="Y8" s="53" t="str">
        <f>IF(AND('Riesgos gestion'!$Z$28="Muy Alta",'Riesgos gestion'!$AB$28="Moderado"),CONCATENATE("R3C",'Riesgos gestion'!$P$28),"")</f>
        <v/>
      </c>
      <c r="Z8" s="53" t="str">
        <f>IF(AND('Riesgos gestion'!$Z$29="Muy Alta",'Riesgos gestion'!$AB$29="Moderado"),CONCATENATE("R3C",'Riesgos gestion'!$P$29),"")</f>
        <v/>
      </c>
      <c r="AA8" s="54" t="str">
        <f>IF(AND('Riesgos gestion'!$Z$30="Muy Alta",'Riesgos gestion'!$AB$30="Moderado"),CONCATENATE("R3C",'Riesgos gestion'!$P$30),"")</f>
        <v/>
      </c>
      <c r="AB8" s="52" t="str">
        <f>IF(AND('Riesgos gestion'!$Z$25="Muy Alta",'Riesgos gestion'!$AB$25="Mayor"),CONCATENATE("R3C",'Riesgos gestion'!$P$25),"")</f>
        <v/>
      </c>
      <c r="AC8" s="53" t="str">
        <f>IF(AND('Riesgos gestion'!$Z$26="Muy Alta",'Riesgos gestion'!$AB$26="Mayor"),CONCATENATE("R3C",'Riesgos gestion'!$P$26),"")</f>
        <v/>
      </c>
      <c r="AD8" s="53" t="str">
        <f>IF(AND('Riesgos gestion'!$Z$27="Muy Alta",'Riesgos gestion'!$AB$27="Mayor"),CONCATENATE("R3C",'Riesgos gestion'!$P$27),"")</f>
        <v/>
      </c>
      <c r="AE8" s="53" t="str">
        <f>IF(AND('Riesgos gestion'!$Z$28="Muy Alta",'Riesgos gestion'!$AB$28="Mayor"),CONCATENATE("R3C",'Riesgos gestion'!$P$28),"")</f>
        <v/>
      </c>
      <c r="AF8" s="53" t="str">
        <f>IF(AND('Riesgos gestion'!$Z$29="Muy Alta",'Riesgos gestion'!$AB$29="Mayor"),CONCATENATE("R3C",'Riesgos gestion'!$P$29),"")</f>
        <v/>
      </c>
      <c r="AG8" s="54" t="str">
        <f>IF(AND('Riesgos gestion'!$Z$30="Muy Alta",'Riesgos gestion'!$AB$30="Mayor"),CONCATENATE("R3C",'Riesgos gestion'!$P$30),"")</f>
        <v/>
      </c>
      <c r="AH8" s="55" t="str">
        <f>IF(AND('Riesgos gestion'!$Z$25="Muy Alta",'Riesgos gestion'!$AB$25="Catastrófico"),CONCATENATE("R3C",'Riesgos gestion'!$P$25),"")</f>
        <v/>
      </c>
      <c r="AI8" s="56" t="str">
        <f>IF(AND('Riesgos gestion'!$Z$26="Muy Alta",'Riesgos gestion'!$AB$26="Catastrófico"),CONCATENATE("R3C",'Riesgos gestion'!$P$26),"")</f>
        <v/>
      </c>
      <c r="AJ8" s="56" t="str">
        <f>IF(AND('Riesgos gestion'!$Z$27="Muy Alta",'Riesgos gestion'!$AB$27="Catastrófico"),CONCATENATE("R3C",'Riesgos gestion'!$P$27),"")</f>
        <v/>
      </c>
      <c r="AK8" s="56" t="str">
        <f>IF(AND('Riesgos gestion'!$Z$28="Muy Alta",'Riesgos gestion'!$AB$28="Catastrófico"),CONCATENATE("R3C",'Riesgos gestion'!$P$28),"")</f>
        <v/>
      </c>
      <c r="AL8" s="56" t="str">
        <f>IF(AND('Riesgos gestion'!$Z$29="Muy Alta",'Riesgos gestion'!$AB$29="Catastrófico"),CONCATENATE("R3C",'Riesgos gestion'!$P$29),"")</f>
        <v/>
      </c>
      <c r="AM8" s="57" t="str">
        <f>IF(AND('Riesgos gestion'!$Z$30="Muy Alta",'Riesgos gestion'!$AB$30="Catastrófico"),CONCATENATE("R3C",'Riesgos gestion'!$P$30),"")</f>
        <v/>
      </c>
      <c r="AN8" s="83"/>
      <c r="AO8" s="632"/>
      <c r="AP8" s="633"/>
      <c r="AQ8" s="633"/>
      <c r="AR8" s="633"/>
      <c r="AS8" s="633"/>
      <c r="AT8" s="634"/>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3">
      <c r="A9" s="83"/>
      <c r="B9" s="571"/>
      <c r="C9" s="571"/>
      <c r="D9" s="572"/>
      <c r="E9" s="612"/>
      <c r="F9" s="613"/>
      <c r="G9" s="613"/>
      <c r="H9" s="613"/>
      <c r="I9" s="614"/>
      <c r="J9" s="52" t="str">
        <f>IF(AND('Riesgos gestion'!$Z$31="Muy Alta",'Riesgos gestion'!$AB$31="Leve"),CONCATENATE("R4C",'Riesgos gestion'!$P$31),"")</f>
        <v/>
      </c>
      <c r="K9" s="53" t="str">
        <f>IF(AND('Riesgos gestion'!$Z$32="Muy Alta",'Riesgos gestion'!$AB$32="Leve"),CONCATENATE("R4C",'Riesgos gestion'!$P$32),"")</f>
        <v/>
      </c>
      <c r="L9" s="53" t="str">
        <f>IF(AND('Riesgos gestion'!$Z$33="Muy Alta",'Riesgos gestion'!$AB$33="Leve"),CONCATENATE("R4C",'Riesgos gestion'!$P$33),"")</f>
        <v/>
      </c>
      <c r="M9" s="53" t="str">
        <f>IF(AND('Riesgos gestion'!$Z$34="Muy Alta",'Riesgos gestion'!$AB$34="Leve"),CONCATENATE("R4C",'Riesgos gestion'!$P$34),"")</f>
        <v/>
      </c>
      <c r="N9" s="53" t="str">
        <f>IF(AND('Riesgos gestion'!$Z$35="Muy Alta",'Riesgos gestion'!$AB$35="Leve"),CONCATENATE("R4C",'Riesgos gestion'!$P$35),"")</f>
        <v/>
      </c>
      <c r="O9" s="54" t="str">
        <f>IF(AND('Riesgos gestion'!$Z$36="Muy Alta",'Riesgos gestion'!$AB$36="Leve"),CONCATENATE("R4C",'Riesgos gestion'!$P$36),"")</f>
        <v/>
      </c>
      <c r="P9" s="52" t="str">
        <f>IF(AND('Riesgos gestion'!$Z$31="Muy Alta",'Riesgos gestion'!$AB$31="Menor"),CONCATENATE("R4C",'Riesgos gestion'!$P$31),"")</f>
        <v/>
      </c>
      <c r="Q9" s="53" t="str">
        <f>IF(AND('Riesgos gestion'!$Z$32="Muy Alta",'Riesgos gestion'!$AB$32="Menor"),CONCATENATE("R4C",'Riesgos gestion'!$P$32),"")</f>
        <v/>
      </c>
      <c r="R9" s="53" t="str">
        <f>IF(AND('Riesgos gestion'!$Z$33="Muy Alta",'Riesgos gestion'!$AB$33="Menor"),CONCATENATE("R4C",'Riesgos gestion'!$P$33),"")</f>
        <v/>
      </c>
      <c r="S9" s="53" t="str">
        <f>IF(AND('Riesgos gestion'!$Z$34="Muy Alta",'Riesgos gestion'!$AB$34="Menor"),CONCATENATE("R4C",'Riesgos gestion'!$P$34),"")</f>
        <v/>
      </c>
      <c r="T9" s="53" t="str">
        <f>IF(AND('Riesgos gestion'!$Z$35="Muy Alta",'Riesgos gestion'!$AB$35="Menor"),CONCATENATE("R4C",'Riesgos gestion'!$P$35),"")</f>
        <v/>
      </c>
      <c r="U9" s="54" t="str">
        <f>IF(AND('Riesgos gestion'!$Z$36="Muy Alta",'Riesgos gestion'!$AB$36="Menor"),CONCATENATE("R4C",'Riesgos gestion'!$P$36),"")</f>
        <v/>
      </c>
      <c r="V9" s="52" t="str">
        <f>IF(AND('Riesgos gestion'!$Z$31="Muy Alta",'Riesgos gestion'!$AB$31="Moderado"),CONCATENATE("R4C",'Riesgos gestion'!$P$31),"")</f>
        <v/>
      </c>
      <c r="W9" s="53" t="str">
        <f>IF(AND('Riesgos gestion'!$Z$32="Muy Alta",'Riesgos gestion'!$AB$32="Moderado"),CONCATENATE("R4C",'Riesgos gestion'!$P$32),"")</f>
        <v/>
      </c>
      <c r="X9" s="53" t="str">
        <f>IF(AND('Riesgos gestion'!$Z$33="Muy Alta",'Riesgos gestion'!$AB$33="Moderado"),CONCATENATE("R4C",'Riesgos gestion'!$P$33),"")</f>
        <v/>
      </c>
      <c r="Y9" s="53" t="str">
        <f>IF(AND('Riesgos gestion'!$Z$34="Muy Alta",'Riesgos gestion'!$AB$34="Moderado"),CONCATENATE("R4C",'Riesgos gestion'!$P$34),"")</f>
        <v/>
      </c>
      <c r="Z9" s="53" t="str">
        <f>IF(AND('Riesgos gestion'!$Z$35="Muy Alta",'Riesgos gestion'!$AB$35="Moderado"),CONCATENATE("R4C",'Riesgos gestion'!$P$35),"")</f>
        <v/>
      </c>
      <c r="AA9" s="54" t="str">
        <f>IF(AND('Riesgos gestion'!$Z$36="Muy Alta",'Riesgos gestion'!$AB$36="Moderado"),CONCATENATE("R4C",'Riesgos gestion'!$P$36),"")</f>
        <v/>
      </c>
      <c r="AB9" s="52" t="str">
        <f>IF(AND('Riesgos gestion'!$Z$31="Muy Alta",'Riesgos gestion'!$AB$31="Mayor"),CONCATENATE("R4C",'Riesgos gestion'!$P$31),"")</f>
        <v/>
      </c>
      <c r="AC9" s="53" t="str">
        <f>IF(AND('Riesgos gestion'!$Z$32="Muy Alta",'Riesgos gestion'!$AB$32="Mayor"),CONCATENATE("R4C",'Riesgos gestion'!$P$32),"")</f>
        <v/>
      </c>
      <c r="AD9" s="53" t="str">
        <f>IF(AND('Riesgos gestion'!$Z$33="Muy Alta",'Riesgos gestion'!$AB$33="Mayor"),CONCATENATE("R4C",'Riesgos gestion'!$P$33),"")</f>
        <v/>
      </c>
      <c r="AE9" s="53" t="str">
        <f>IF(AND('Riesgos gestion'!$Z$34="Muy Alta",'Riesgos gestion'!$AB$34="Mayor"),CONCATENATE("R4C",'Riesgos gestion'!$P$34),"")</f>
        <v/>
      </c>
      <c r="AF9" s="53" t="str">
        <f>IF(AND('Riesgos gestion'!$Z$35="Muy Alta",'Riesgos gestion'!$AB$35="Mayor"),CONCATENATE("R4C",'Riesgos gestion'!$P$35),"")</f>
        <v/>
      </c>
      <c r="AG9" s="54" t="str">
        <f>IF(AND('Riesgos gestion'!$Z$36="Muy Alta",'Riesgos gestion'!$AB$36="Mayor"),CONCATENATE("R4C",'Riesgos gestion'!$P$36),"")</f>
        <v/>
      </c>
      <c r="AH9" s="55" t="str">
        <f>IF(AND('Riesgos gestion'!$Z$31="Muy Alta",'Riesgos gestion'!$AB$31="Catastrófico"),CONCATENATE("R4C",'Riesgos gestion'!$P$31),"")</f>
        <v/>
      </c>
      <c r="AI9" s="56" t="str">
        <f>IF(AND('Riesgos gestion'!$Z$32="Muy Alta",'Riesgos gestion'!$AB$32="Catastrófico"),CONCATENATE("R4C",'Riesgos gestion'!$P$32),"")</f>
        <v/>
      </c>
      <c r="AJ9" s="56" t="str">
        <f>IF(AND('Riesgos gestion'!$Z$33="Muy Alta",'Riesgos gestion'!$AB$33="Catastrófico"),CONCATENATE("R4C",'Riesgos gestion'!$P$33),"")</f>
        <v/>
      </c>
      <c r="AK9" s="56" t="str">
        <f>IF(AND('Riesgos gestion'!$Z$34="Muy Alta",'Riesgos gestion'!$AB$34="Catastrófico"),CONCATENATE("R4C",'Riesgos gestion'!$P$34),"")</f>
        <v/>
      </c>
      <c r="AL9" s="56" t="str">
        <f>IF(AND('Riesgos gestion'!$Z$35="Muy Alta",'Riesgos gestion'!$AB$35="Catastrófico"),CONCATENATE("R4C",'Riesgos gestion'!$P$35),"")</f>
        <v/>
      </c>
      <c r="AM9" s="57" t="str">
        <f>IF(AND('Riesgos gestion'!$Z$36="Muy Alta",'Riesgos gestion'!$AB$36="Catastrófico"),CONCATENATE("R4C",'Riesgos gestion'!$P$36),"")</f>
        <v/>
      </c>
      <c r="AN9" s="83"/>
      <c r="AO9" s="632"/>
      <c r="AP9" s="633"/>
      <c r="AQ9" s="633"/>
      <c r="AR9" s="633"/>
      <c r="AS9" s="633"/>
      <c r="AT9" s="634"/>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3">
      <c r="A10" s="83"/>
      <c r="B10" s="571"/>
      <c r="C10" s="571"/>
      <c r="D10" s="572"/>
      <c r="E10" s="612"/>
      <c r="F10" s="613"/>
      <c r="G10" s="613"/>
      <c r="H10" s="613"/>
      <c r="I10" s="614"/>
      <c r="J10" s="52" t="str">
        <f>IF(AND('Riesgos gestion'!$Z$37="Muy Alta",'Riesgos gestion'!$AB$37="Leve"),CONCATENATE("R5C",'Riesgos gestion'!$P$37),"")</f>
        <v/>
      </c>
      <c r="K10" s="53" t="str">
        <f>IF(AND('Riesgos gestion'!$Z$38="Muy Alta",'Riesgos gestion'!$AB$38="Leve"),CONCATENATE("R5C",'Riesgos gestion'!$P$38),"")</f>
        <v/>
      </c>
      <c r="L10" s="53" t="str">
        <f>IF(AND('Riesgos gestion'!$Z$39="Muy Alta",'Riesgos gestion'!$AB$39="Leve"),CONCATENATE("R5C",'Riesgos gestion'!$P$39),"")</f>
        <v/>
      </c>
      <c r="M10" s="53" t="str">
        <f>IF(AND('Riesgos gestion'!$Z$40="Muy Alta",'Riesgos gestion'!$AB$40="Leve"),CONCATENATE("R5C",'Riesgos gestion'!$P$40),"")</f>
        <v/>
      </c>
      <c r="N10" s="53" t="str">
        <f>IF(AND('Riesgos gestion'!$Z$41="Muy Alta",'Riesgos gestion'!$AB$41="Leve"),CONCATENATE("R5C",'Riesgos gestion'!$P$41),"")</f>
        <v/>
      </c>
      <c r="O10" s="54" t="str">
        <f>IF(AND('Riesgos gestion'!$Z$42="Muy Alta",'Riesgos gestion'!$AB$42="Leve"),CONCATENATE("R5C",'Riesgos gestion'!$P$42),"")</f>
        <v/>
      </c>
      <c r="P10" s="52" t="str">
        <f>IF(AND('Riesgos gestion'!$Z$37="Muy Alta",'Riesgos gestion'!$AB$37="Menor"),CONCATENATE("R5C",'Riesgos gestion'!$P$37),"")</f>
        <v/>
      </c>
      <c r="Q10" s="53" t="str">
        <f>IF(AND('Riesgos gestion'!$Z$38="Muy Alta",'Riesgos gestion'!$AB$38="Menor"),CONCATENATE("R5C",'Riesgos gestion'!$P$38),"")</f>
        <v/>
      </c>
      <c r="R10" s="53" t="str">
        <f>IF(AND('Riesgos gestion'!$Z$39="Muy Alta",'Riesgos gestion'!$AB$39="Menor"),CONCATENATE("R5C",'Riesgos gestion'!$P$39),"")</f>
        <v/>
      </c>
      <c r="S10" s="53" t="str">
        <f>IF(AND('Riesgos gestion'!$Z$40="Muy Alta",'Riesgos gestion'!$AB$40="Menor"),CONCATENATE("R5C",'Riesgos gestion'!$P$40),"")</f>
        <v/>
      </c>
      <c r="T10" s="53" t="str">
        <f>IF(AND('Riesgos gestion'!$Z$41="Muy Alta",'Riesgos gestion'!$AB$41="Menor"),CONCATENATE("R5C",'Riesgos gestion'!$P$41),"")</f>
        <v/>
      </c>
      <c r="U10" s="54" t="str">
        <f>IF(AND('Riesgos gestion'!$Z$42="Muy Alta",'Riesgos gestion'!$AB$42="Menor"),CONCATENATE("R5C",'Riesgos gestion'!$P$42),"")</f>
        <v/>
      </c>
      <c r="V10" s="52" t="str">
        <f>IF(AND('Riesgos gestion'!$Z$37="Muy Alta",'Riesgos gestion'!$AB$37="Moderado"),CONCATENATE("R5C",'Riesgos gestion'!$P$37),"")</f>
        <v/>
      </c>
      <c r="W10" s="53" t="str">
        <f>IF(AND('Riesgos gestion'!$Z$38="Muy Alta",'Riesgos gestion'!$AB$38="Moderado"),CONCATENATE("R5C",'Riesgos gestion'!$P$38),"")</f>
        <v/>
      </c>
      <c r="X10" s="53" t="str">
        <f>IF(AND('Riesgos gestion'!$Z$39="Muy Alta",'Riesgos gestion'!$AB$39="Moderado"),CONCATENATE("R5C",'Riesgos gestion'!$P$39),"")</f>
        <v/>
      </c>
      <c r="Y10" s="53" t="str">
        <f>IF(AND('Riesgos gestion'!$Z$40="Muy Alta",'Riesgos gestion'!$AB$40="Moderado"),CONCATENATE("R5C",'Riesgos gestion'!$P$40),"")</f>
        <v/>
      </c>
      <c r="Z10" s="53" t="str">
        <f>IF(AND('Riesgos gestion'!$Z$41="Muy Alta",'Riesgos gestion'!$AB$41="Moderado"),CONCATENATE("R5C",'Riesgos gestion'!$P$41),"")</f>
        <v/>
      </c>
      <c r="AA10" s="54" t="str">
        <f>IF(AND('Riesgos gestion'!$Z$42="Muy Alta",'Riesgos gestion'!$AB$42="Moderado"),CONCATENATE("R5C",'Riesgos gestion'!$P$42),"")</f>
        <v/>
      </c>
      <c r="AB10" s="52" t="str">
        <f>IF(AND('Riesgos gestion'!$Z$37="Muy Alta",'Riesgos gestion'!$AB$37="Mayor"),CONCATENATE("R5C",'Riesgos gestion'!$P$37),"")</f>
        <v/>
      </c>
      <c r="AC10" s="53" t="str">
        <f>IF(AND('Riesgos gestion'!$Z$38="Muy Alta",'Riesgos gestion'!$AB$38="Mayor"),CONCATENATE("R5C",'Riesgos gestion'!$P$38),"")</f>
        <v/>
      </c>
      <c r="AD10" s="53" t="str">
        <f>IF(AND('Riesgos gestion'!$Z$39="Muy Alta",'Riesgos gestion'!$AB$39="Mayor"),CONCATENATE("R5C",'Riesgos gestion'!$P$39),"")</f>
        <v/>
      </c>
      <c r="AE10" s="53" t="str">
        <f>IF(AND('Riesgos gestion'!$Z$40="Muy Alta",'Riesgos gestion'!$AB$40="Mayor"),CONCATENATE("R5C",'Riesgos gestion'!$P$40),"")</f>
        <v/>
      </c>
      <c r="AF10" s="53" t="str">
        <f>IF(AND('Riesgos gestion'!$Z$41="Muy Alta",'Riesgos gestion'!$AB$41="Mayor"),CONCATENATE("R5C",'Riesgos gestion'!$P$41),"")</f>
        <v/>
      </c>
      <c r="AG10" s="54" t="str">
        <f>IF(AND('Riesgos gestion'!$Z$42="Muy Alta",'Riesgos gestion'!$AB$42="Mayor"),CONCATENATE("R5C",'Riesgos gestion'!$P$42),"")</f>
        <v/>
      </c>
      <c r="AH10" s="55" t="str">
        <f>IF(AND('Riesgos gestion'!$Z$37="Muy Alta",'Riesgos gestion'!$AB$37="Catastrófico"),CONCATENATE("R5C",'Riesgos gestion'!$P$37),"")</f>
        <v/>
      </c>
      <c r="AI10" s="56" t="str">
        <f>IF(AND('Riesgos gestion'!$Z$38="Muy Alta",'Riesgos gestion'!$AB$38="Catastrófico"),CONCATENATE("R5C",'Riesgos gestion'!$P$38),"")</f>
        <v/>
      </c>
      <c r="AJ10" s="56" t="str">
        <f>IF(AND('Riesgos gestion'!$Z$39="Muy Alta",'Riesgos gestion'!$AB$39="Catastrófico"),CONCATENATE("R5C",'Riesgos gestion'!$P$39),"")</f>
        <v/>
      </c>
      <c r="AK10" s="56" t="str">
        <f>IF(AND('Riesgos gestion'!$Z$40="Muy Alta",'Riesgos gestion'!$AB$40="Catastrófico"),CONCATENATE("R5C",'Riesgos gestion'!$P$40),"")</f>
        <v/>
      </c>
      <c r="AL10" s="56" t="str">
        <f>IF(AND('Riesgos gestion'!$Z$41="Muy Alta",'Riesgos gestion'!$AB$41="Catastrófico"),CONCATENATE("R5C",'Riesgos gestion'!$P$41),"")</f>
        <v/>
      </c>
      <c r="AM10" s="57" t="str">
        <f>IF(AND('Riesgos gestion'!$Z$42="Muy Alta",'Riesgos gestion'!$AB$42="Catastrófico"),CONCATENATE("R5C",'Riesgos gestion'!$P$42),"")</f>
        <v/>
      </c>
      <c r="AN10" s="83"/>
      <c r="AO10" s="632"/>
      <c r="AP10" s="633"/>
      <c r="AQ10" s="633"/>
      <c r="AR10" s="633"/>
      <c r="AS10" s="633"/>
      <c r="AT10" s="634"/>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3">
      <c r="A11" s="83"/>
      <c r="B11" s="571"/>
      <c r="C11" s="571"/>
      <c r="D11" s="572"/>
      <c r="E11" s="612"/>
      <c r="F11" s="613"/>
      <c r="G11" s="613"/>
      <c r="H11" s="613"/>
      <c r="I11" s="614"/>
      <c r="J11" s="52" t="str">
        <f>IF(AND('Riesgos gestion'!$Z$43="Muy Alta",'Riesgos gestion'!$AB$43="Leve"),CONCATENATE("R6C",'Riesgos gestion'!$P$43),"")</f>
        <v/>
      </c>
      <c r="K11" s="53" t="str">
        <f>IF(AND('Riesgos gestion'!$Z$44="Muy Alta",'Riesgos gestion'!$AB$44="Leve"),CONCATENATE("R6C",'Riesgos gestion'!$P$44),"")</f>
        <v/>
      </c>
      <c r="L11" s="53" t="str">
        <f>IF(AND('Riesgos gestion'!$Z$45="Muy Alta",'Riesgos gestion'!$AB$45="Leve"),CONCATENATE("R6C",'Riesgos gestion'!$P$45),"")</f>
        <v/>
      </c>
      <c r="M11" s="53" t="str">
        <f>IF(AND('Riesgos gestion'!$Z$46="Muy Alta",'Riesgos gestion'!$AB$46="Leve"),CONCATENATE("R6C",'Riesgos gestion'!$P$46),"")</f>
        <v/>
      </c>
      <c r="N11" s="53" t="str">
        <f>IF(AND('Riesgos gestion'!$Z$47="Muy Alta",'Riesgos gestion'!$AB$47="Leve"),CONCATENATE("R6C",'Riesgos gestion'!$P$47),"")</f>
        <v/>
      </c>
      <c r="O11" s="54" t="str">
        <f>IF(AND('Riesgos gestion'!$Z$48="Muy Alta",'Riesgos gestion'!$AB$48="Leve"),CONCATENATE("R6C",'Riesgos gestion'!$P$48),"")</f>
        <v/>
      </c>
      <c r="P11" s="52" t="str">
        <f>IF(AND('Riesgos gestion'!$Z$43="Muy Alta",'Riesgos gestion'!$AB$43="Menor"),CONCATENATE("R6C",'Riesgos gestion'!$P$43),"")</f>
        <v/>
      </c>
      <c r="Q11" s="53" t="str">
        <f>IF(AND('Riesgos gestion'!$Z$44="Muy Alta",'Riesgos gestion'!$AB$44="Menor"),CONCATENATE("R6C",'Riesgos gestion'!$P$44),"")</f>
        <v/>
      </c>
      <c r="R11" s="53" t="str">
        <f>IF(AND('Riesgos gestion'!$Z$45="Muy Alta",'Riesgos gestion'!$AB$45="Menor"),CONCATENATE("R6C",'Riesgos gestion'!$P$45),"")</f>
        <v/>
      </c>
      <c r="S11" s="53" t="str">
        <f>IF(AND('Riesgos gestion'!$Z$46="Muy Alta",'Riesgos gestion'!$AB$46="Menor"),CONCATENATE("R6C",'Riesgos gestion'!$P$46),"")</f>
        <v/>
      </c>
      <c r="T11" s="53" t="str">
        <f>IF(AND('Riesgos gestion'!$Z$47="Muy Alta",'Riesgos gestion'!$AB$47="Menor"),CONCATENATE("R6C",'Riesgos gestion'!$P$47),"")</f>
        <v/>
      </c>
      <c r="U11" s="54" t="str">
        <f>IF(AND('Riesgos gestion'!$Z$48="Muy Alta",'Riesgos gestion'!$AB$48="Menor"),CONCATENATE("R6C",'Riesgos gestion'!$P$48),"")</f>
        <v/>
      </c>
      <c r="V11" s="52" t="str">
        <f>IF(AND('Riesgos gestion'!$Z$43="Muy Alta",'Riesgos gestion'!$AB$43="Moderado"),CONCATENATE("R6C",'Riesgos gestion'!$P$43),"")</f>
        <v/>
      </c>
      <c r="W11" s="53" t="str">
        <f>IF(AND('Riesgos gestion'!$Z$44="Muy Alta",'Riesgos gestion'!$AB$44="Moderado"),CONCATENATE("R6C",'Riesgos gestion'!$P$44),"")</f>
        <v/>
      </c>
      <c r="X11" s="53" t="str">
        <f>IF(AND('Riesgos gestion'!$Z$45="Muy Alta",'Riesgos gestion'!$AB$45="Moderado"),CONCATENATE("R6C",'Riesgos gestion'!$P$45),"")</f>
        <v/>
      </c>
      <c r="Y11" s="53" t="str">
        <f>IF(AND('Riesgos gestion'!$Z$46="Muy Alta",'Riesgos gestion'!$AB$46="Moderado"),CONCATENATE("R6C",'Riesgos gestion'!$P$46),"")</f>
        <v/>
      </c>
      <c r="Z11" s="53" t="str">
        <f>IF(AND('Riesgos gestion'!$Z$47="Muy Alta",'Riesgos gestion'!$AB$47="Moderado"),CONCATENATE("R6C",'Riesgos gestion'!$P$47),"")</f>
        <v/>
      </c>
      <c r="AA11" s="54" t="str">
        <f>IF(AND('Riesgos gestion'!$Z$48="Muy Alta",'Riesgos gestion'!$AB$48="Moderado"),CONCATENATE("R6C",'Riesgos gestion'!$P$48),"")</f>
        <v/>
      </c>
      <c r="AB11" s="52" t="str">
        <f>IF(AND('Riesgos gestion'!$Z$43="Muy Alta",'Riesgos gestion'!$AB$43="Mayor"),CONCATENATE("R6C",'Riesgos gestion'!$P$43),"")</f>
        <v/>
      </c>
      <c r="AC11" s="53" t="str">
        <f>IF(AND('Riesgos gestion'!$Z$44="Muy Alta",'Riesgos gestion'!$AB$44="Mayor"),CONCATENATE("R6C",'Riesgos gestion'!$P$44),"")</f>
        <v/>
      </c>
      <c r="AD11" s="53" t="str">
        <f>IF(AND('Riesgos gestion'!$Z$45="Muy Alta",'Riesgos gestion'!$AB$45="Mayor"),CONCATENATE("R6C",'Riesgos gestion'!$P$45),"")</f>
        <v/>
      </c>
      <c r="AE11" s="53" t="str">
        <f>IF(AND('Riesgos gestion'!$Z$46="Muy Alta",'Riesgos gestion'!$AB$46="Mayor"),CONCATENATE("R6C",'Riesgos gestion'!$P$46),"")</f>
        <v/>
      </c>
      <c r="AF11" s="53" t="str">
        <f>IF(AND('Riesgos gestion'!$Z$47="Muy Alta",'Riesgos gestion'!$AB$47="Mayor"),CONCATENATE("R6C",'Riesgos gestion'!$P$47),"")</f>
        <v/>
      </c>
      <c r="AG11" s="54" t="str">
        <f>IF(AND('Riesgos gestion'!$Z$48="Muy Alta",'Riesgos gestion'!$AB$48="Mayor"),CONCATENATE("R6C",'Riesgos gestion'!$P$48),"")</f>
        <v/>
      </c>
      <c r="AH11" s="55" t="str">
        <f>IF(AND('Riesgos gestion'!$Z$43="Muy Alta",'Riesgos gestion'!$AB$43="Catastrófico"),CONCATENATE("R6C",'Riesgos gestion'!$P$43),"")</f>
        <v/>
      </c>
      <c r="AI11" s="56" t="str">
        <f>IF(AND('Riesgos gestion'!$Z$44="Muy Alta",'Riesgos gestion'!$AB$44="Catastrófico"),CONCATENATE("R6C",'Riesgos gestion'!$P$44),"")</f>
        <v/>
      </c>
      <c r="AJ11" s="56" t="str">
        <f>IF(AND('Riesgos gestion'!$Z$45="Muy Alta",'Riesgos gestion'!$AB$45="Catastrófico"),CONCATENATE("R6C",'Riesgos gestion'!$P$45),"")</f>
        <v/>
      </c>
      <c r="AK11" s="56" t="str">
        <f>IF(AND('Riesgos gestion'!$Z$46="Muy Alta",'Riesgos gestion'!$AB$46="Catastrófico"),CONCATENATE("R6C",'Riesgos gestion'!$P$46),"")</f>
        <v/>
      </c>
      <c r="AL11" s="56" t="str">
        <f>IF(AND('Riesgos gestion'!$Z$47="Muy Alta",'Riesgos gestion'!$AB$47="Catastrófico"),CONCATENATE("R6C",'Riesgos gestion'!$P$47),"")</f>
        <v/>
      </c>
      <c r="AM11" s="57" t="str">
        <f>IF(AND('Riesgos gestion'!$Z$48="Muy Alta",'Riesgos gestion'!$AB$48="Catastrófico"),CONCATENATE("R6C",'Riesgos gestion'!$P$48),"")</f>
        <v/>
      </c>
      <c r="AN11" s="83"/>
      <c r="AO11" s="632"/>
      <c r="AP11" s="633"/>
      <c r="AQ11" s="633"/>
      <c r="AR11" s="633"/>
      <c r="AS11" s="633"/>
      <c r="AT11" s="634"/>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3">
      <c r="A12" s="83"/>
      <c r="B12" s="571"/>
      <c r="C12" s="571"/>
      <c r="D12" s="572"/>
      <c r="E12" s="612"/>
      <c r="F12" s="613"/>
      <c r="G12" s="613"/>
      <c r="H12" s="613"/>
      <c r="I12" s="614"/>
      <c r="J12" s="52" t="str">
        <f>IF(AND('Riesgos gestion'!$Z$49="Muy Alta",'Riesgos gestion'!$AB$49="Leve"),CONCATENATE("R7C",'Riesgos gestion'!$P$49),"")</f>
        <v/>
      </c>
      <c r="K12" s="53" t="str">
        <f>IF(AND('Riesgos gestion'!$Z$50="Muy Alta",'Riesgos gestion'!$AB$50="Leve"),CONCATENATE("R7C",'Riesgos gestion'!$P$50),"")</f>
        <v/>
      </c>
      <c r="L12" s="53" t="str">
        <f>IF(AND('Riesgos gestion'!$Z$51="Muy Alta",'Riesgos gestion'!$AB$51="Leve"),CONCATENATE("R7C",'Riesgos gestion'!$P$51),"")</f>
        <v/>
      </c>
      <c r="M12" s="53" t="str">
        <f>IF(AND('Riesgos gestion'!$Z$52="Muy Alta",'Riesgos gestion'!$AB$52="Leve"),CONCATENATE("R7C",'Riesgos gestion'!$P$52),"")</f>
        <v/>
      </c>
      <c r="N12" s="53" t="str">
        <f>IF(AND('Riesgos gestion'!$Z$53="Muy Alta",'Riesgos gestion'!$AB$53="Leve"),CONCATENATE("R7C",'Riesgos gestion'!$P$53),"")</f>
        <v/>
      </c>
      <c r="O12" s="54" t="str">
        <f>IF(AND('Riesgos gestion'!$Z$54="Muy Alta",'Riesgos gestion'!$AB$54="Leve"),CONCATENATE("R7C",'Riesgos gestion'!$P$54),"")</f>
        <v/>
      </c>
      <c r="P12" s="52" t="str">
        <f>IF(AND('Riesgos gestion'!$Z$49="Muy Alta",'Riesgos gestion'!$AB$49="Menor"),CONCATENATE("R7C",'Riesgos gestion'!$P$49),"")</f>
        <v/>
      </c>
      <c r="Q12" s="53" t="str">
        <f>IF(AND('Riesgos gestion'!$Z$50="Muy Alta",'Riesgos gestion'!$AB$50="Menor"),CONCATENATE("R7C",'Riesgos gestion'!$P$50),"")</f>
        <v/>
      </c>
      <c r="R12" s="53" t="str">
        <f>IF(AND('Riesgos gestion'!$Z$51="Muy Alta",'Riesgos gestion'!$AB$51="Menor"),CONCATENATE("R7C",'Riesgos gestion'!$P$51),"")</f>
        <v/>
      </c>
      <c r="S12" s="53" t="str">
        <f>IF(AND('Riesgos gestion'!$Z$52="Muy Alta",'Riesgos gestion'!$AB$52="Menor"),CONCATENATE("R7C",'Riesgos gestion'!$P$52),"")</f>
        <v/>
      </c>
      <c r="T12" s="53" t="str">
        <f>IF(AND('Riesgos gestion'!$Z$53="Muy Alta",'Riesgos gestion'!$AB$53="Menor"),CONCATENATE("R7C",'Riesgos gestion'!$P$53),"")</f>
        <v/>
      </c>
      <c r="U12" s="54" t="str">
        <f>IF(AND('Riesgos gestion'!$Z$54="Muy Alta",'Riesgos gestion'!$AB$54="Menor"),CONCATENATE("R7C",'Riesgos gestion'!$P$54),"")</f>
        <v/>
      </c>
      <c r="V12" s="52" t="str">
        <f>IF(AND('Riesgos gestion'!$Z$49="Muy Alta",'Riesgos gestion'!$AB$49="Moderado"),CONCATENATE("R7C",'Riesgos gestion'!$P$49),"")</f>
        <v/>
      </c>
      <c r="W12" s="53" t="str">
        <f>IF(AND('Riesgos gestion'!$Z$50="Muy Alta",'Riesgos gestion'!$AB$50="Moderado"),CONCATENATE("R7C",'Riesgos gestion'!$P$50),"")</f>
        <v/>
      </c>
      <c r="X12" s="53" t="str">
        <f>IF(AND('Riesgos gestion'!$Z$51="Muy Alta",'Riesgos gestion'!$AB$51="Moderado"),CONCATENATE("R7C",'Riesgos gestion'!$P$51),"")</f>
        <v/>
      </c>
      <c r="Y12" s="53" t="str">
        <f>IF(AND('Riesgos gestion'!$Z$52="Muy Alta",'Riesgos gestion'!$AB$52="Moderado"),CONCATENATE("R7C",'Riesgos gestion'!$P$52),"")</f>
        <v/>
      </c>
      <c r="Z12" s="53" t="str">
        <f>IF(AND('Riesgos gestion'!$Z$53="Muy Alta",'Riesgos gestion'!$AB$53="Moderado"),CONCATENATE("R7C",'Riesgos gestion'!$P$53),"")</f>
        <v/>
      </c>
      <c r="AA12" s="54" t="str">
        <f>IF(AND('Riesgos gestion'!$Z$54="Muy Alta",'Riesgos gestion'!$AB$54="Moderado"),CONCATENATE("R7C",'Riesgos gestion'!$P$54),"")</f>
        <v/>
      </c>
      <c r="AB12" s="52" t="str">
        <f>IF(AND('Riesgos gestion'!$Z$49="Muy Alta",'Riesgos gestion'!$AB$49="Mayor"),CONCATENATE("R7C",'Riesgos gestion'!$P$49),"")</f>
        <v/>
      </c>
      <c r="AC12" s="53" t="str">
        <f>IF(AND('Riesgos gestion'!$Z$50="Muy Alta",'Riesgos gestion'!$AB$50="Mayor"),CONCATENATE("R7C",'Riesgos gestion'!$P$50),"")</f>
        <v/>
      </c>
      <c r="AD12" s="53" t="str">
        <f>IF(AND('Riesgos gestion'!$Z$51="Muy Alta",'Riesgos gestion'!$AB$51="Mayor"),CONCATENATE("R7C",'Riesgos gestion'!$P$51),"")</f>
        <v/>
      </c>
      <c r="AE12" s="53" t="str">
        <f>IF(AND('Riesgos gestion'!$Z$52="Muy Alta",'Riesgos gestion'!$AB$52="Mayor"),CONCATENATE("R7C",'Riesgos gestion'!$P$52),"")</f>
        <v/>
      </c>
      <c r="AF12" s="53" t="str">
        <f>IF(AND('Riesgos gestion'!$Z$53="Muy Alta",'Riesgos gestion'!$AB$53="Mayor"),CONCATENATE("R7C",'Riesgos gestion'!$P$53),"")</f>
        <v/>
      </c>
      <c r="AG12" s="54" t="str">
        <f>IF(AND('Riesgos gestion'!$Z$54="Muy Alta",'Riesgos gestion'!$AB$54="Mayor"),CONCATENATE("R7C",'Riesgos gestion'!$P$54),"")</f>
        <v/>
      </c>
      <c r="AH12" s="55" t="str">
        <f>IF(AND('Riesgos gestion'!$Z$49="Muy Alta",'Riesgos gestion'!$AB$49="Catastrófico"),CONCATENATE("R7C",'Riesgos gestion'!$P$49),"")</f>
        <v/>
      </c>
      <c r="AI12" s="56" t="str">
        <f>IF(AND('Riesgos gestion'!$Z$50="Muy Alta",'Riesgos gestion'!$AB$50="Catastrófico"),CONCATENATE("R7C",'Riesgos gestion'!$P$50),"")</f>
        <v/>
      </c>
      <c r="AJ12" s="56" t="str">
        <f>IF(AND('Riesgos gestion'!$Z$51="Muy Alta",'Riesgos gestion'!$AB$51="Catastrófico"),CONCATENATE("R7C",'Riesgos gestion'!$P$51),"")</f>
        <v/>
      </c>
      <c r="AK12" s="56" t="str">
        <f>IF(AND('Riesgos gestion'!$Z$52="Muy Alta",'Riesgos gestion'!$AB$52="Catastrófico"),CONCATENATE("R7C",'Riesgos gestion'!$P$52),"")</f>
        <v/>
      </c>
      <c r="AL12" s="56" t="str">
        <f>IF(AND('Riesgos gestion'!$Z$53="Muy Alta",'Riesgos gestion'!$AB$53="Catastrófico"),CONCATENATE("R7C",'Riesgos gestion'!$P$53),"")</f>
        <v/>
      </c>
      <c r="AM12" s="57" t="str">
        <f>IF(AND('Riesgos gestion'!$Z$54="Muy Alta",'Riesgos gestion'!$AB$54="Catastrófico"),CONCATENATE("R7C",'Riesgos gestion'!$P$54),"")</f>
        <v/>
      </c>
      <c r="AN12" s="83"/>
      <c r="AO12" s="632"/>
      <c r="AP12" s="633"/>
      <c r="AQ12" s="633"/>
      <c r="AR12" s="633"/>
      <c r="AS12" s="633"/>
      <c r="AT12" s="634"/>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3">
      <c r="A13" s="83"/>
      <c r="B13" s="571"/>
      <c r="C13" s="571"/>
      <c r="D13" s="572"/>
      <c r="E13" s="612"/>
      <c r="F13" s="613"/>
      <c r="G13" s="613"/>
      <c r="H13" s="613"/>
      <c r="I13" s="614"/>
      <c r="J13" s="52" t="str">
        <f>IF(AND('Riesgos gestion'!$Z$55="Muy Alta",'Riesgos gestion'!$AB$55="Leve"),CONCATENATE("R8C",'Riesgos gestion'!$P$55),"")</f>
        <v/>
      </c>
      <c r="K13" s="53" t="str">
        <f>IF(AND('Riesgos gestion'!$Z$56="Muy Alta",'Riesgos gestion'!$AB$56="Leve"),CONCATENATE("R8C",'Riesgos gestion'!$P$56),"")</f>
        <v/>
      </c>
      <c r="L13" s="53" t="str">
        <f>IF(AND('Riesgos gestion'!$Z$57="Muy Alta",'Riesgos gestion'!$AB$57="Leve"),CONCATENATE("R8C",'Riesgos gestion'!$P$57),"")</f>
        <v/>
      </c>
      <c r="M13" s="53" t="str">
        <f>IF(AND('Riesgos gestion'!$Z$58="Muy Alta",'Riesgos gestion'!$AB$58="Leve"),CONCATENATE("R8C",'Riesgos gestion'!$P$58),"")</f>
        <v/>
      </c>
      <c r="N13" s="53" t="str">
        <f>IF(AND('Riesgos gestion'!$Z$59="Muy Alta",'Riesgos gestion'!$AB$59="Leve"),CONCATENATE("R8C",'Riesgos gestion'!$P$59),"")</f>
        <v/>
      </c>
      <c r="O13" s="54" t="str">
        <f>IF(AND('Riesgos gestion'!$Z$60="Muy Alta",'Riesgos gestion'!$AB$60="Leve"),CONCATENATE("R8C",'Riesgos gestion'!$P$60),"")</f>
        <v/>
      </c>
      <c r="P13" s="52" t="str">
        <f>IF(AND('Riesgos gestion'!$Z$55="Muy Alta",'Riesgos gestion'!$AB$55="Menor"),CONCATENATE("R8C",'Riesgos gestion'!$P$55),"")</f>
        <v/>
      </c>
      <c r="Q13" s="53" t="str">
        <f>IF(AND('Riesgos gestion'!$Z$56="Muy Alta",'Riesgos gestion'!$AB$56="Menor"),CONCATENATE("R8C",'Riesgos gestion'!$P$56),"")</f>
        <v/>
      </c>
      <c r="R13" s="53" t="str">
        <f>IF(AND('Riesgos gestion'!$Z$57="Muy Alta",'Riesgos gestion'!$AB$57="Menor"),CONCATENATE("R8C",'Riesgos gestion'!$P$57),"")</f>
        <v/>
      </c>
      <c r="S13" s="53" t="str">
        <f>IF(AND('Riesgos gestion'!$Z$58="Muy Alta",'Riesgos gestion'!$AB$58="Menor"),CONCATENATE("R8C",'Riesgos gestion'!$P$58),"")</f>
        <v/>
      </c>
      <c r="T13" s="53" t="str">
        <f>IF(AND('Riesgos gestion'!$Z$59="Muy Alta",'Riesgos gestion'!$AB$59="Menor"),CONCATENATE("R8C",'Riesgos gestion'!$P$59),"")</f>
        <v/>
      </c>
      <c r="U13" s="54" t="str">
        <f>IF(AND('Riesgos gestion'!$Z$60="Muy Alta",'Riesgos gestion'!$AB$60="Menor"),CONCATENATE("R8C",'Riesgos gestion'!$P$60),"")</f>
        <v/>
      </c>
      <c r="V13" s="52" t="str">
        <f>IF(AND('Riesgos gestion'!$Z$55="Muy Alta",'Riesgos gestion'!$AB$55="Moderado"),CONCATENATE("R8C",'Riesgos gestion'!$P$55),"")</f>
        <v/>
      </c>
      <c r="W13" s="53" t="str">
        <f>IF(AND('Riesgos gestion'!$Z$56="Muy Alta",'Riesgos gestion'!$AB$56="Moderado"),CONCATENATE("R8C",'Riesgos gestion'!$P$56),"")</f>
        <v/>
      </c>
      <c r="X13" s="53" t="str">
        <f>IF(AND('Riesgos gestion'!$Z$57="Muy Alta",'Riesgos gestion'!$AB$57="Moderado"),CONCATENATE("R8C",'Riesgos gestion'!$P$57),"")</f>
        <v/>
      </c>
      <c r="Y13" s="53" t="str">
        <f>IF(AND('Riesgos gestion'!$Z$58="Muy Alta",'Riesgos gestion'!$AB$58="Moderado"),CONCATENATE("R8C",'Riesgos gestion'!$P$58),"")</f>
        <v/>
      </c>
      <c r="Z13" s="53" t="str">
        <f>IF(AND('Riesgos gestion'!$Z$59="Muy Alta",'Riesgos gestion'!$AB$59="Moderado"),CONCATENATE("R8C",'Riesgos gestion'!$P$59),"")</f>
        <v/>
      </c>
      <c r="AA13" s="54" t="str">
        <f>IF(AND('Riesgos gestion'!$Z$60="Muy Alta",'Riesgos gestion'!$AB$60="Moderado"),CONCATENATE("R8C",'Riesgos gestion'!$P$60),"")</f>
        <v/>
      </c>
      <c r="AB13" s="52" t="str">
        <f>IF(AND('Riesgos gestion'!$Z$55="Muy Alta",'Riesgos gestion'!$AB$55="Mayor"),CONCATENATE("R8C",'Riesgos gestion'!$P$55),"")</f>
        <v/>
      </c>
      <c r="AC13" s="53" t="str">
        <f>IF(AND('Riesgos gestion'!$Z$56="Muy Alta",'Riesgos gestion'!$AB$56="Mayor"),CONCATENATE("R8C",'Riesgos gestion'!$P$56),"")</f>
        <v/>
      </c>
      <c r="AD13" s="53" t="str">
        <f>IF(AND('Riesgos gestion'!$Z$57="Muy Alta",'Riesgos gestion'!$AB$57="Mayor"),CONCATENATE("R8C",'Riesgos gestion'!$P$57),"")</f>
        <v/>
      </c>
      <c r="AE13" s="53" t="str">
        <f>IF(AND('Riesgos gestion'!$Z$58="Muy Alta",'Riesgos gestion'!$AB$58="Mayor"),CONCATENATE("R8C",'Riesgos gestion'!$P$58),"")</f>
        <v/>
      </c>
      <c r="AF13" s="53" t="str">
        <f>IF(AND('Riesgos gestion'!$Z$59="Muy Alta",'Riesgos gestion'!$AB$59="Mayor"),CONCATENATE("R8C",'Riesgos gestion'!$P$59),"")</f>
        <v/>
      </c>
      <c r="AG13" s="54" t="str">
        <f>IF(AND('Riesgos gestion'!$Z$60="Muy Alta",'Riesgos gestion'!$AB$60="Mayor"),CONCATENATE("R8C",'Riesgos gestion'!$P$60),"")</f>
        <v/>
      </c>
      <c r="AH13" s="55" t="str">
        <f>IF(AND('Riesgos gestion'!$Z$55="Muy Alta",'Riesgos gestion'!$AB$55="Catastrófico"),CONCATENATE("R8C",'Riesgos gestion'!$P$55),"")</f>
        <v/>
      </c>
      <c r="AI13" s="56" t="str">
        <f>IF(AND('Riesgos gestion'!$Z$56="Muy Alta",'Riesgos gestion'!$AB$56="Catastrófico"),CONCATENATE("R8C",'Riesgos gestion'!$P$56),"")</f>
        <v/>
      </c>
      <c r="AJ13" s="56" t="str">
        <f>IF(AND('Riesgos gestion'!$Z$57="Muy Alta",'Riesgos gestion'!$AB$57="Catastrófico"),CONCATENATE("R8C",'Riesgos gestion'!$P$57),"")</f>
        <v/>
      </c>
      <c r="AK13" s="56" t="str">
        <f>IF(AND('Riesgos gestion'!$Z$58="Muy Alta",'Riesgos gestion'!$AB$58="Catastrófico"),CONCATENATE("R8C",'Riesgos gestion'!$P$58),"")</f>
        <v/>
      </c>
      <c r="AL13" s="56" t="str">
        <f>IF(AND('Riesgos gestion'!$Z$59="Muy Alta",'Riesgos gestion'!$AB$59="Catastrófico"),CONCATENATE("R8C",'Riesgos gestion'!$P$59),"")</f>
        <v/>
      </c>
      <c r="AM13" s="57" t="str">
        <f>IF(AND('Riesgos gestion'!$Z$60="Muy Alta",'Riesgos gestion'!$AB$60="Catastrófico"),CONCATENATE("R8C",'Riesgos gestion'!$P$60),"")</f>
        <v/>
      </c>
      <c r="AN13" s="83"/>
      <c r="AO13" s="632"/>
      <c r="AP13" s="633"/>
      <c r="AQ13" s="633"/>
      <c r="AR13" s="633"/>
      <c r="AS13" s="633"/>
      <c r="AT13" s="63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3">
      <c r="A14" s="83"/>
      <c r="B14" s="571"/>
      <c r="C14" s="571"/>
      <c r="D14" s="572"/>
      <c r="E14" s="612"/>
      <c r="F14" s="613"/>
      <c r="G14" s="613"/>
      <c r="H14" s="613"/>
      <c r="I14" s="614"/>
      <c r="J14" s="52" t="str">
        <f>IF(AND('Riesgos gestion'!$Z$61="Muy Alta",'Riesgos gestion'!$AB$61="Leve"),CONCATENATE("R9C",'Riesgos gestion'!$P$61),"")</f>
        <v/>
      </c>
      <c r="K14" s="53" t="str">
        <f>IF(AND('Riesgos gestion'!$Z$62="Muy Alta",'Riesgos gestion'!$AB$62="Leve"),CONCATENATE("R9C",'Riesgos gestion'!$P$62),"")</f>
        <v/>
      </c>
      <c r="L14" s="53" t="str">
        <f>IF(AND('Riesgos gestion'!$Z$63="Muy Alta",'Riesgos gestion'!$AB$63="Leve"),CONCATENATE("R9C",'Riesgos gestion'!$P$63),"")</f>
        <v/>
      </c>
      <c r="M14" s="53" t="str">
        <f>IF(AND('Riesgos gestion'!$Z$64="Muy Alta",'Riesgos gestion'!$AB$64="Leve"),CONCATENATE("R9C",'Riesgos gestion'!$P$64),"")</f>
        <v/>
      </c>
      <c r="N14" s="53" t="str">
        <f>IF(AND('Riesgos gestion'!$Z$65="Muy Alta",'Riesgos gestion'!$AB$65="Leve"),CONCATENATE("R9C",'Riesgos gestion'!$P$65),"")</f>
        <v/>
      </c>
      <c r="O14" s="54" t="str">
        <f>IF(AND('Riesgos gestion'!$Z$66="Muy Alta",'Riesgos gestion'!$AB$66="Leve"),CONCATENATE("R9C",'Riesgos gestion'!$P$66),"")</f>
        <v/>
      </c>
      <c r="P14" s="52" t="str">
        <f>IF(AND('Riesgos gestion'!$Z$61="Muy Alta",'Riesgos gestion'!$AB$61="Menor"),CONCATENATE("R9C",'Riesgos gestion'!$P$61),"")</f>
        <v/>
      </c>
      <c r="Q14" s="53" t="str">
        <f>IF(AND('Riesgos gestion'!$Z$62="Muy Alta",'Riesgos gestion'!$AB$62="Menor"),CONCATENATE("R9C",'Riesgos gestion'!$P$62),"")</f>
        <v/>
      </c>
      <c r="R14" s="53" t="str">
        <f>IF(AND('Riesgos gestion'!$Z$63="Muy Alta",'Riesgos gestion'!$AB$63="Menor"),CONCATENATE("R9C",'Riesgos gestion'!$P$63),"")</f>
        <v/>
      </c>
      <c r="S14" s="53" t="str">
        <f>IF(AND('Riesgos gestion'!$Z$64="Muy Alta",'Riesgos gestion'!$AB$64="Menor"),CONCATENATE("R9C",'Riesgos gestion'!$P$64),"")</f>
        <v/>
      </c>
      <c r="T14" s="53" t="str">
        <f>IF(AND('Riesgos gestion'!$Z$65="Muy Alta",'Riesgos gestion'!$AB$65="Menor"),CONCATENATE("R9C",'Riesgos gestion'!$P$65),"")</f>
        <v/>
      </c>
      <c r="U14" s="54" t="str">
        <f>IF(AND('Riesgos gestion'!$Z$66="Muy Alta",'Riesgos gestion'!$AB$66="Menor"),CONCATENATE("R9C",'Riesgos gestion'!$P$66),"")</f>
        <v/>
      </c>
      <c r="V14" s="52" t="str">
        <f>IF(AND('Riesgos gestion'!$Z$61="Muy Alta",'Riesgos gestion'!$AB$61="Moderado"),CONCATENATE("R9C",'Riesgos gestion'!$P$61),"")</f>
        <v/>
      </c>
      <c r="W14" s="53" t="str">
        <f>IF(AND('Riesgos gestion'!$Z$62="Muy Alta",'Riesgos gestion'!$AB$62="Moderado"),CONCATENATE("R9C",'Riesgos gestion'!$P$62),"")</f>
        <v/>
      </c>
      <c r="X14" s="53" t="str">
        <f>IF(AND('Riesgos gestion'!$Z$63="Muy Alta",'Riesgos gestion'!$AB$63="Moderado"),CONCATENATE("R9C",'Riesgos gestion'!$P$63),"")</f>
        <v/>
      </c>
      <c r="Y14" s="53" t="str">
        <f>IF(AND('Riesgos gestion'!$Z$64="Muy Alta",'Riesgos gestion'!$AB$64="Moderado"),CONCATENATE("R9C",'Riesgos gestion'!$P$64),"")</f>
        <v/>
      </c>
      <c r="Z14" s="53" t="str">
        <f>IF(AND('Riesgos gestion'!$Z$65="Muy Alta",'Riesgos gestion'!$AB$65="Moderado"),CONCATENATE("R9C",'Riesgos gestion'!$P$65),"")</f>
        <v/>
      </c>
      <c r="AA14" s="54" t="str">
        <f>IF(AND('Riesgos gestion'!$Z$66="Muy Alta",'Riesgos gestion'!$AB$66="Moderado"),CONCATENATE("R9C",'Riesgos gestion'!$P$66),"")</f>
        <v/>
      </c>
      <c r="AB14" s="52" t="str">
        <f>IF(AND('Riesgos gestion'!$Z$61="Muy Alta",'Riesgos gestion'!$AB$61="Mayor"),CONCATENATE("R9C",'Riesgos gestion'!$P$61),"")</f>
        <v/>
      </c>
      <c r="AC14" s="53" t="str">
        <f>IF(AND('Riesgos gestion'!$Z$62="Muy Alta",'Riesgos gestion'!$AB$62="Mayor"),CONCATENATE("R9C",'Riesgos gestion'!$P$62),"")</f>
        <v/>
      </c>
      <c r="AD14" s="53" t="str">
        <f>IF(AND('Riesgos gestion'!$Z$63="Muy Alta",'Riesgos gestion'!$AB$63="Mayor"),CONCATENATE("R9C",'Riesgos gestion'!$P$63),"")</f>
        <v/>
      </c>
      <c r="AE14" s="53" t="str">
        <f>IF(AND('Riesgos gestion'!$Z$64="Muy Alta",'Riesgos gestion'!$AB$64="Mayor"),CONCATENATE("R9C",'Riesgos gestion'!$P$64),"")</f>
        <v/>
      </c>
      <c r="AF14" s="53" t="str">
        <f>IF(AND('Riesgos gestion'!$Z$65="Muy Alta",'Riesgos gestion'!$AB$65="Mayor"),CONCATENATE("R9C",'Riesgos gestion'!$P$65),"")</f>
        <v/>
      </c>
      <c r="AG14" s="54" t="str">
        <f>IF(AND('Riesgos gestion'!$Z$66="Muy Alta",'Riesgos gestion'!$AB$66="Mayor"),CONCATENATE("R9C",'Riesgos gestion'!$P$66),"")</f>
        <v/>
      </c>
      <c r="AH14" s="55" t="str">
        <f>IF(AND('Riesgos gestion'!$Z$61="Muy Alta",'Riesgos gestion'!$AB$61="Catastrófico"),CONCATENATE("R9C",'Riesgos gestion'!$P$61),"")</f>
        <v/>
      </c>
      <c r="AI14" s="56" t="str">
        <f>IF(AND('Riesgos gestion'!$Z$62="Muy Alta",'Riesgos gestion'!$AB$62="Catastrófico"),CONCATENATE("R9C",'Riesgos gestion'!$P$62),"")</f>
        <v/>
      </c>
      <c r="AJ14" s="56" t="str">
        <f>IF(AND('Riesgos gestion'!$Z$63="Muy Alta",'Riesgos gestion'!$AB$63="Catastrófico"),CONCATENATE("R9C",'Riesgos gestion'!$P$63),"")</f>
        <v/>
      </c>
      <c r="AK14" s="56" t="str">
        <f>IF(AND('Riesgos gestion'!$Z$64="Muy Alta",'Riesgos gestion'!$AB$64="Catastrófico"),CONCATENATE("R9C",'Riesgos gestion'!$P$64),"")</f>
        <v/>
      </c>
      <c r="AL14" s="56" t="str">
        <f>IF(AND('Riesgos gestion'!$Z$65="Muy Alta",'Riesgos gestion'!$AB$65="Catastrófico"),CONCATENATE("R9C",'Riesgos gestion'!$P$65),"")</f>
        <v/>
      </c>
      <c r="AM14" s="57" t="str">
        <f>IF(AND('Riesgos gestion'!$Z$66="Muy Alta",'Riesgos gestion'!$AB$66="Catastrófico"),CONCATENATE("R9C",'Riesgos gestion'!$P$66),"")</f>
        <v/>
      </c>
      <c r="AN14" s="83"/>
      <c r="AO14" s="632"/>
      <c r="AP14" s="633"/>
      <c r="AQ14" s="633"/>
      <c r="AR14" s="633"/>
      <c r="AS14" s="633"/>
      <c r="AT14" s="634"/>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5">
      <c r="A15" s="83"/>
      <c r="B15" s="571"/>
      <c r="C15" s="571"/>
      <c r="D15" s="572"/>
      <c r="E15" s="615"/>
      <c r="F15" s="616"/>
      <c r="G15" s="616"/>
      <c r="H15" s="616"/>
      <c r="I15" s="617"/>
      <c r="J15" s="58" t="str">
        <f>IF(AND('Riesgos gestion'!$Z$67="Muy Alta",'Riesgos gestion'!$AB$67="Leve"),CONCATENATE("R10C",'Riesgos gestion'!$P$67),"")</f>
        <v/>
      </c>
      <c r="K15" s="59" t="str">
        <f>IF(AND('Riesgos gestion'!$Z$68="Muy Alta",'Riesgos gestion'!$AB$68="Leve"),CONCATENATE("R10C",'Riesgos gestion'!$P$68),"")</f>
        <v/>
      </c>
      <c r="L15" s="59" t="str">
        <f>IF(AND('Riesgos gestion'!$Z$69="Muy Alta",'Riesgos gestion'!$AB$69="Leve"),CONCATENATE("R10C",'Riesgos gestion'!$P$69),"")</f>
        <v/>
      </c>
      <c r="M15" s="59" t="str">
        <f>IF(AND('Riesgos gestion'!$Z$70="Muy Alta",'Riesgos gestion'!$AB$70="Leve"),CONCATENATE("R10C",'Riesgos gestion'!$P$70),"")</f>
        <v/>
      </c>
      <c r="N15" s="59" t="str">
        <f>IF(AND('Riesgos gestion'!$Z$71="Muy Alta",'Riesgos gestion'!$AB$71="Leve"),CONCATENATE("R10C",'Riesgos gestion'!$P$71),"")</f>
        <v/>
      </c>
      <c r="O15" s="60" t="str">
        <f>IF(AND('Riesgos gestion'!$Z$72="Muy Alta",'Riesgos gestion'!$AB$72="Leve"),CONCATENATE("R10C",'Riesgos gestion'!$P$72),"")</f>
        <v/>
      </c>
      <c r="P15" s="52" t="str">
        <f>IF(AND('Riesgos gestion'!$Z$67="Muy Alta",'Riesgos gestion'!$AB$67="Menor"),CONCATENATE("R10C",'Riesgos gestion'!$P$67),"")</f>
        <v/>
      </c>
      <c r="Q15" s="53" t="str">
        <f>IF(AND('Riesgos gestion'!$Z$68="Muy Alta",'Riesgos gestion'!$AB$68="Menor"),CONCATENATE("R10C",'Riesgos gestion'!$P$68),"")</f>
        <v/>
      </c>
      <c r="R15" s="53" t="str">
        <f>IF(AND('Riesgos gestion'!$Z$69="Muy Alta",'Riesgos gestion'!$AB$69="Menor"),CONCATENATE("R10C",'Riesgos gestion'!$P$69),"")</f>
        <v/>
      </c>
      <c r="S15" s="53" t="str">
        <f>IF(AND('Riesgos gestion'!$Z$70="Muy Alta",'Riesgos gestion'!$AB$70="Menor"),CONCATENATE("R10C",'Riesgos gestion'!$P$70),"")</f>
        <v/>
      </c>
      <c r="T15" s="53" t="str">
        <f>IF(AND('Riesgos gestion'!$Z$71="Muy Alta",'Riesgos gestion'!$AB$71="Menor"),CONCATENATE("R10C",'Riesgos gestion'!$P$71),"")</f>
        <v/>
      </c>
      <c r="U15" s="54" t="str">
        <f>IF(AND('Riesgos gestion'!$Z$72="Muy Alta",'Riesgos gestion'!$AB$72="Menor"),CONCATENATE("R10C",'Riesgos gestion'!$P$72),"")</f>
        <v/>
      </c>
      <c r="V15" s="58" t="str">
        <f>IF(AND('Riesgos gestion'!$Z$67="Muy Alta",'Riesgos gestion'!$AB$67="Moderado"),CONCATENATE("R10C",'Riesgos gestion'!$P$67),"")</f>
        <v/>
      </c>
      <c r="W15" s="59" t="str">
        <f>IF(AND('Riesgos gestion'!$Z$68="Muy Alta",'Riesgos gestion'!$AB$68="Moderado"),CONCATENATE("R10C",'Riesgos gestion'!$P$68),"")</f>
        <v/>
      </c>
      <c r="X15" s="59" t="str">
        <f>IF(AND('Riesgos gestion'!$Z$69="Muy Alta",'Riesgos gestion'!$AB$69="Moderado"),CONCATENATE("R10C",'Riesgos gestion'!$P$69),"")</f>
        <v/>
      </c>
      <c r="Y15" s="59" t="str">
        <f>IF(AND('Riesgos gestion'!$Z$70="Muy Alta",'Riesgos gestion'!$AB$70="Moderado"),CONCATENATE("R10C",'Riesgos gestion'!$P$70),"")</f>
        <v/>
      </c>
      <c r="Z15" s="59" t="str">
        <f>IF(AND('Riesgos gestion'!$Z$71="Muy Alta",'Riesgos gestion'!$AB$71="Moderado"),CONCATENATE("R10C",'Riesgos gestion'!$P$71),"")</f>
        <v/>
      </c>
      <c r="AA15" s="60" t="str">
        <f>IF(AND('Riesgos gestion'!$Z$72="Muy Alta",'Riesgos gestion'!$AB$72="Moderado"),CONCATENATE("R10C",'Riesgos gestion'!$P$72),"")</f>
        <v/>
      </c>
      <c r="AB15" s="52" t="str">
        <f>IF(AND('Riesgos gestion'!$Z$67="Muy Alta",'Riesgos gestion'!$AB$67="Mayor"),CONCATENATE("R10C",'Riesgos gestion'!$P$67),"")</f>
        <v/>
      </c>
      <c r="AC15" s="53" t="str">
        <f>IF(AND('Riesgos gestion'!$Z$68="Muy Alta",'Riesgos gestion'!$AB$68="Mayor"),CONCATENATE("R10C",'Riesgos gestion'!$P$68),"")</f>
        <v/>
      </c>
      <c r="AD15" s="53" t="str">
        <f>IF(AND('Riesgos gestion'!$Z$69="Muy Alta",'Riesgos gestion'!$AB$69="Mayor"),CONCATENATE("R10C",'Riesgos gestion'!$P$69),"")</f>
        <v/>
      </c>
      <c r="AE15" s="53" t="str">
        <f>IF(AND('Riesgos gestion'!$Z$70="Muy Alta",'Riesgos gestion'!$AB$70="Mayor"),CONCATENATE("R10C",'Riesgos gestion'!$P$70),"")</f>
        <v/>
      </c>
      <c r="AF15" s="53" t="str">
        <f>IF(AND('Riesgos gestion'!$Z$71="Muy Alta",'Riesgos gestion'!$AB$71="Mayor"),CONCATENATE("R10C",'Riesgos gestion'!$P$71),"")</f>
        <v/>
      </c>
      <c r="AG15" s="54" t="str">
        <f>IF(AND('Riesgos gestion'!$Z$72="Muy Alta",'Riesgos gestion'!$AB$72="Mayor"),CONCATENATE("R10C",'Riesgos gestion'!$P$72),"")</f>
        <v/>
      </c>
      <c r="AH15" s="61" t="str">
        <f>IF(AND('Riesgos gestion'!$Z$67="Muy Alta",'Riesgos gestion'!$AB$67="Catastrófico"),CONCATENATE("R10C",'Riesgos gestion'!$P$67),"")</f>
        <v/>
      </c>
      <c r="AI15" s="62" t="str">
        <f>IF(AND('Riesgos gestion'!$Z$68="Muy Alta",'Riesgos gestion'!$AB$68="Catastrófico"),CONCATENATE("R10C",'Riesgos gestion'!$P$68),"")</f>
        <v/>
      </c>
      <c r="AJ15" s="62" t="str">
        <f>IF(AND('Riesgos gestion'!$Z$69="Muy Alta",'Riesgos gestion'!$AB$69="Catastrófico"),CONCATENATE("R10C",'Riesgos gestion'!$P$69),"")</f>
        <v/>
      </c>
      <c r="AK15" s="62" t="str">
        <f>IF(AND('Riesgos gestion'!$Z$70="Muy Alta",'Riesgos gestion'!$AB$70="Catastrófico"),CONCATENATE("R10C",'Riesgos gestion'!$P$70),"")</f>
        <v/>
      </c>
      <c r="AL15" s="62" t="str">
        <f>IF(AND('Riesgos gestion'!$Z$71="Muy Alta",'Riesgos gestion'!$AB$71="Catastrófico"),CONCATENATE("R10C",'Riesgos gestion'!$P$71),"")</f>
        <v/>
      </c>
      <c r="AM15" s="63" t="str">
        <f>IF(AND('Riesgos gestion'!$Z$72="Muy Alta",'Riesgos gestion'!$AB$72="Catastrófico"),CONCATENATE("R10C",'Riesgos gestion'!$P$72),"")</f>
        <v/>
      </c>
      <c r="AN15" s="83"/>
      <c r="AO15" s="635"/>
      <c r="AP15" s="636"/>
      <c r="AQ15" s="636"/>
      <c r="AR15" s="636"/>
      <c r="AS15" s="636"/>
      <c r="AT15" s="637"/>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3">
      <c r="A16" s="83"/>
      <c r="B16" s="571"/>
      <c r="C16" s="571"/>
      <c r="D16" s="572"/>
      <c r="E16" s="609" t="s">
        <v>318</v>
      </c>
      <c r="F16" s="610"/>
      <c r="G16" s="610"/>
      <c r="H16" s="610"/>
      <c r="I16" s="610"/>
      <c r="J16" s="64" t="str">
        <f>IF(AND('Riesgos gestion'!$Z$13="Alta",'Riesgos gestion'!$AB$13="Leve"),CONCATENATE("R1C",'Riesgos gestion'!$P$13),"")</f>
        <v/>
      </c>
      <c r="K16" s="65" t="str">
        <f>IF(AND('Riesgos gestion'!$Z$14="Alta",'Riesgos gestion'!$AB$14="Leve"),CONCATENATE("R1C",'Riesgos gestion'!$P$14),"")</f>
        <v/>
      </c>
      <c r="L16" s="65" t="str">
        <f>IF(AND('Riesgos gestion'!$Z$15="Alta",'Riesgos gestion'!$AB$15="Leve"),CONCATENATE("R1C",'Riesgos gestion'!$P$15),"")</f>
        <v/>
      </c>
      <c r="M16" s="65" t="str">
        <f>IF(AND('Riesgos gestion'!$Z$16="Alta",'Riesgos gestion'!$AB$16="Leve"),CONCATENATE("R1C",'Riesgos gestion'!$P$16),"")</f>
        <v/>
      </c>
      <c r="N16" s="65" t="str">
        <f>IF(AND('Riesgos gestion'!$Z$17="Alta",'Riesgos gestion'!$AB$17="Leve"),CONCATENATE("R1C",'Riesgos gestion'!$P$17),"")</f>
        <v/>
      </c>
      <c r="O16" s="66" t="e">
        <f>IF(AND('Riesgos gestion'!#REF!="Alta",'Riesgos gestion'!#REF!="Leve"),CONCATENATE("R1C",'Riesgos gestion'!#REF!),"")</f>
        <v>#REF!</v>
      </c>
      <c r="P16" s="64" t="str">
        <f>IF(AND('Riesgos gestion'!$Z$13="Alta",'Riesgos gestion'!$AB$13="Menor"),CONCATENATE("R1C",'Riesgos gestion'!$P$13),"")</f>
        <v/>
      </c>
      <c r="Q16" s="65" t="str">
        <f>IF(AND('Riesgos gestion'!$Z$14="Alta",'Riesgos gestion'!$AB$14="Menor"),CONCATENATE("R1C",'Riesgos gestion'!$P$14),"")</f>
        <v/>
      </c>
      <c r="R16" s="65" t="str">
        <f>IF(AND('Riesgos gestion'!$Z$15="Alta",'Riesgos gestion'!$AB$15="Menor"),CONCATENATE("R1C",'Riesgos gestion'!$P$15),"")</f>
        <v/>
      </c>
      <c r="S16" s="65" t="str">
        <f>IF(AND('Riesgos gestion'!$Z$16="Alta",'Riesgos gestion'!$AB$16="Menor"),CONCATENATE("R1C",'Riesgos gestion'!$P$16),"")</f>
        <v/>
      </c>
      <c r="T16" s="65" t="str">
        <f>IF(AND('Riesgos gestion'!$Z$17="Alta",'Riesgos gestion'!$AB$17="Menor"),CONCATENATE("R1C",'Riesgos gestion'!$P$17),"")</f>
        <v/>
      </c>
      <c r="U16" s="66" t="e">
        <f>IF(AND('Riesgos gestion'!#REF!="Alta",'Riesgos gestion'!#REF!="Menor"),CONCATENATE("R1C",'Riesgos gestion'!#REF!),"")</f>
        <v>#REF!</v>
      </c>
      <c r="V16" s="46" t="str">
        <f>IF(AND('Riesgos gestion'!$Z$13="Alta",'Riesgos gestion'!$AB$13="Moderado"),CONCATENATE("R1C",'Riesgos gestion'!$P$13),"")</f>
        <v/>
      </c>
      <c r="W16" s="47" t="str">
        <f>IF(AND('Riesgos gestion'!$Z$14="Alta",'Riesgos gestion'!$AB$14="Moderado"),CONCATENATE("R1C",'Riesgos gestion'!$P$14),"")</f>
        <v/>
      </c>
      <c r="X16" s="47" t="str">
        <f>IF(AND('Riesgos gestion'!$Z$15="Alta",'Riesgos gestion'!$AB$15="Moderado"),CONCATENATE("R1C",'Riesgos gestion'!$P$15),"")</f>
        <v/>
      </c>
      <c r="Y16" s="47" t="str">
        <f>IF(AND('Riesgos gestion'!$Z$16="Alta",'Riesgos gestion'!$AB$16="Moderado"),CONCATENATE("R1C",'Riesgos gestion'!$P$16),"")</f>
        <v/>
      </c>
      <c r="Z16" s="47" t="str">
        <f>IF(AND('Riesgos gestion'!$Z$17="Alta",'Riesgos gestion'!$AB$17="Moderado"),CONCATENATE("R1C",'Riesgos gestion'!$P$17),"")</f>
        <v/>
      </c>
      <c r="AA16" s="48" t="e">
        <f>IF(AND('Riesgos gestion'!#REF!="Alta",'Riesgos gestion'!#REF!="Moderado"),CONCATENATE("R1C",'Riesgos gestion'!#REF!),"")</f>
        <v>#REF!</v>
      </c>
      <c r="AB16" s="46" t="str">
        <f>IF(AND('Riesgos gestion'!$Z$13="Alta",'Riesgos gestion'!$AB$13="Mayor"),CONCATENATE("R1C",'Riesgos gestion'!$P$13),"")</f>
        <v/>
      </c>
      <c r="AC16" s="47" t="str">
        <f>IF(AND('Riesgos gestion'!$Z$14="Alta",'Riesgos gestion'!$AB$14="Mayor"),CONCATENATE("R1C",'Riesgos gestion'!$P$14),"")</f>
        <v/>
      </c>
      <c r="AD16" s="47" t="str">
        <f>IF(AND('Riesgos gestion'!$Z$15="Alta",'Riesgos gestion'!$AB$15="Mayor"),CONCATENATE("R1C",'Riesgos gestion'!$P$15),"")</f>
        <v/>
      </c>
      <c r="AE16" s="47" t="str">
        <f>IF(AND('Riesgos gestion'!$Z$16="Alta",'Riesgos gestion'!$AB$16="Mayor"),CONCATENATE("R1C",'Riesgos gestion'!$P$16),"")</f>
        <v/>
      </c>
      <c r="AF16" s="47" t="str">
        <f>IF(AND('Riesgos gestion'!$Z$17="Alta",'Riesgos gestion'!$AB$17="Mayor"),CONCATENATE("R1C",'Riesgos gestion'!$P$17),"")</f>
        <v/>
      </c>
      <c r="AG16" s="48" t="e">
        <f>IF(AND('Riesgos gestion'!#REF!="Alta",'Riesgos gestion'!#REF!="Mayor"),CONCATENATE("R1C",'Riesgos gestion'!#REF!),"")</f>
        <v>#REF!</v>
      </c>
      <c r="AH16" s="49" t="str">
        <f>IF(AND('Riesgos gestion'!$Z$13="Alta",'Riesgos gestion'!$AB$13="Catastrófico"),CONCATENATE("R1C",'Riesgos gestion'!$P$13),"")</f>
        <v/>
      </c>
      <c r="AI16" s="50" t="str">
        <f>IF(AND('Riesgos gestion'!$Z$14="Alta",'Riesgos gestion'!$AB$14="Catastrófico"),CONCATENATE("R1C",'Riesgos gestion'!$P$14),"")</f>
        <v/>
      </c>
      <c r="AJ16" s="50" t="str">
        <f>IF(AND('Riesgos gestion'!$Z$15="Alta",'Riesgos gestion'!$AB$15="Catastrófico"),CONCATENATE("R1C",'Riesgos gestion'!$P$15),"")</f>
        <v/>
      </c>
      <c r="AK16" s="50" t="str">
        <f>IF(AND('Riesgos gestion'!$Z$16="Alta",'Riesgos gestion'!$AB$16="Catastrófico"),CONCATENATE("R1C",'Riesgos gestion'!$P$16),"")</f>
        <v/>
      </c>
      <c r="AL16" s="50" t="str">
        <f>IF(AND('Riesgos gestion'!$Z$17="Alta",'Riesgos gestion'!$AB$17="Catastrófico"),CONCATENATE("R1C",'Riesgos gestion'!$P$17),"")</f>
        <v/>
      </c>
      <c r="AM16" s="51" t="e">
        <f>IF(AND('Riesgos gestion'!#REF!="Alta",'Riesgos gestion'!#REF!="Catastrófico"),CONCATENATE("R1C",'Riesgos gestion'!#REF!),"")</f>
        <v>#REF!</v>
      </c>
      <c r="AN16" s="83"/>
      <c r="AO16" s="619" t="s">
        <v>319</v>
      </c>
      <c r="AP16" s="620"/>
      <c r="AQ16" s="620"/>
      <c r="AR16" s="620"/>
      <c r="AS16" s="620"/>
      <c r="AT16" s="62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3">
      <c r="A17" s="83"/>
      <c r="B17" s="571"/>
      <c r="C17" s="571"/>
      <c r="D17" s="572"/>
      <c r="E17" s="628"/>
      <c r="F17" s="613"/>
      <c r="G17" s="613"/>
      <c r="H17" s="613"/>
      <c r="I17" s="613"/>
      <c r="J17" s="67" t="str">
        <f>IF(AND('Riesgos gestion'!$Z$19="Alta",'Riesgos gestion'!$AB$19="Leve"),CONCATENATE("R2C",'Riesgos gestion'!$P$19),"")</f>
        <v/>
      </c>
      <c r="K17" s="68" t="str">
        <f>IF(AND('Riesgos gestion'!$Z$20="Alta",'Riesgos gestion'!$AB$20="Leve"),CONCATENATE("R2C",'Riesgos gestion'!$P$20),"")</f>
        <v/>
      </c>
      <c r="L17" s="68" t="str">
        <f>IF(AND('Riesgos gestion'!$Z$21="Alta",'Riesgos gestion'!$AB$21="Leve"),CONCATENATE("R2C",'Riesgos gestion'!$P$21),"")</f>
        <v/>
      </c>
      <c r="M17" s="68" t="str">
        <f>IF(AND('Riesgos gestion'!$Z$22="Alta",'Riesgos gestion'!$AB$22="Leve"),CONCATENATE("R2C",'Riesgos gestion'!$P$22),"")</f>
        <v/>
      </c>
      <c r="N17" s="68" t="str">
        <f>IF(AND('Riesgos gestion'!$Z$23="Alta",'Riesgos gestion'!$AB$23="Leve"),CONCATENATE("R2C",'Riesgos gestion'!$P$23),"")</f>
        <v/>
      </c>
      <c r="O17" s="69" t="str">
        <f>IF(AND('Riesgos gestion'!$Z$24="Alta",'Riesgos gestion'!$AB$24="Leve"),CONCATENATE("R2C",'Riesgos gestion'!$P$24),"")</f>
        <v/>
      </c>
      <c r="P17" s="67" t="str">
        <f>IF(AND('Riesgos gestion'!$Z$19="Alta",'Riesgos gestion'!$AB$19="Menor"),CONCATENATE("R2C",'Riesgos gestion'!$P$19),"")</f>
        <v/>
      </c>
      <c r="Q17" s="68" t="str">
        <f>IF(AND('Riesgos gestion'!$Z$20="Alta",'Riesgos gestion'!$AB$20="Menor"),CONCATENATE("R2C",'Riesgos gestion'!$P$20),"")</f>
        <v/>
      </c>
      <c r="R17" s="68" t="str">
        <f>IF(AND('Riesgos gestion'!$Z$21="Alta",'Riesgos gestion'!$AB$21="Menor"),CONCATENATE("R2C",'Riesgos gestion'!$P$21),"")</f>
        <v/>
      </c>
      <c r="S17" s="68" t="str">
        <f>IF(AND('Riesgos gestion'!$Z$22="Alta",'Riesgos gestion'!$AB$22="Menor"),CONCATENATE("R2C",'Riesgos gestion'!$P$22),"")</f>
        <v/>
      </c>
      <c r="T17" s="68" t="str">
        <f>IF(AND('Riesgos gestion'!$Z$23="Alta",'Riesgos gestion'!$AB$23="Menor"),CONCATENATE("R2C",'Riesgos gestion'!$P$23),"")</f>
        <v/>
      </c>
      <c r="U17" s="69" t="str">
        <f>IF(AND('Riesgos gestion'!$Z$24="Alta",'Riesgos gestion'!$AB$24="Menor"),CONCATENATE("R2C",'Riesgos gestion'!$P$24),"")</f>
        <v/>
      </c>
      <c r="V17" s="52" t="str">
        <f>IF(AND('Riesgos gestion'!$Z$19="Alta",'Riesgos gestion'!$AB$19="Moderado"),CONCATENATE("R2C",'Riesgos gestion'!$P$19),"")</f>
        <v/>
      </c>
      <c r="W17" s="53" t="str">
        <f>IF(AND('Riesgos gestion'!$Z$20="Alta",'Riesgos gestion'!$AB$20="Moderado"),CONCATENATE("R2C",'Riesgos gestion'!$P$20),"")</f>
        <v/>
      </c>
      <c r="X17" s="53" t="str">
        <f>IF(AND('Riesgos gestion'!$Z$21="Alta",'Riesgos gestion'!$AB$21="Moderado"),CONCATENATE("R2C",'Riesgos gestion'!$P$21),"")</f>
        <v/>
      </c>
      <c r="Y17" s="53" t="str">
        <f>IF(AND('Riesgos gestion'!$Z$22="Alta",'Riesgos gestion'!$AB$22="Moderado"),CONCATENATE("R2C",'Riesgos gestion'!$P$22),"")</f>
        <v/>
      </c>
      <c r="Z17" s="53" t="str">
        <f>IF(AND('Riesgos gestion'!$Z$23="Alta",'Riesgos gestion'!$AB$23="Moderado"),CONCATENATE("R2C",'Riesgos gestion'!$P$23),"")</f>
        <v/>
      </c>
      <c r="AA17" s="54" t="str">
        <f>IF(AND('Riesgos gestion'!$Z$24="Alta",'Riesgos gestion'!$AB$24="Moderado"),CONCATENATE("R2C",'Riesgos gestion'!$P$24),"")</f>
        <v/>
      </c>
      <c r="AB17" s="52" t="str">
        <f>IF(AND('Riesgos gestion'!$Z$19="Alta",'Riesgos gestion'!$AB$19="Mayor"),CONCATENATE("R2C",'Riesgos gestion'!$P$19),"")</f>
        <v/>
      </c>
      <c r="AC17" s="53" t="str">
        <f>IF(AND('Riesgos gestion'!$Z$20="Alta",'Riesgos gestion'!$AB$20="Mayor"),CONCATENATE("R2C",'Riesgos gestion'!$P$20),"")</f>
        <v/>
      </c>
      <c r="AD17" s="53" t="str">
        <f>IF(AND('Riesgos gestion'!$Z$21="Alta",'Riesgos gestion'!$AB$21="Mayor"),CONCATENATE("R2C",'Riesgos gestion'!$P$21),"")</f>
        <v/>
      </c>
      <c r="AE17" s="53" t="str">
        <f>IF(AND('Riesgos gestion'!$Z$22="Alta",'Riesgos gestion'!$AB$22="Mayor"),CONCATENATE("R2C",'Riesgos gestion'!$P$22),"")</f>
        <v/>
      </c>
      <c r="AF17" s="53" t="str">
        <f>IF(AND('Riesgos gestion'!$Z$23="Alta",'Riesgos gestion'!$AB$23="Mayor"),CONCATENATE("R2C",'Riesgos gestion'!$P$23),"")</f>
        <v/>
      </c>
      <c r="AG17" s="54" t="str">
        <f>IF(AND('Riesgos gestion'!$Z$24="Alta",'Riesgos gestion'!$AB$24="Mayor"),CONCATENATE("R2C",'Riesgos gestion'!$P$24),"")</f>
        <v/>
      </c>
      <c r="AH17" s="55" t="str">
        <f>IF(AND('Riesgos gestion'!$Z$19="Alta",'Riesgos gestion'!$AB$19="Catastrófico"),CONCATENATE("R2C",'Riesgos gestion'!$P$19),"")</f>
        <v/>
      </c>
      <c r="AI17" s="56" t="str">
        <f>IF(AND('Riesgos gestion'!$Z$20="Alta",'Riesgos gestion'!$AB$20="Catastrófico"),CONCATENATE("R2C",'Riesgos gestion'!$P$20),"")</f>
        <v/>
      </c>
      <c r="AJ17" s="56" t="str">
        <f>IF(AND('Riesgos gestion'!$Z$21="Alta",'Riesgos gestion'!$AB$21="Catastrófico"),CONCATENATE("R2C",'Riesgos gestion'!$P$21),"")</f>
        <v/>
      </c>
      <c r="AK17" s="56" t="str">
        <f>IF(AND('Riesgos gestion'!$Z$22="Alta",'Riesgos gestion'!$AB$22="Catastrófico"),CONCATENATE("R2C",'Riesgos gestion'!$P$22),"")</f>
        <v/>
      </c>
      <c r="AL17" s="56" t="str">
        <f>IF(AND('Riesgos gestion'!$Z$23="Alta",'Riesgos gestion'!$AB$23="Catastrófico"),CONCATENATE("R2C",'Riesgos gestion'!$P$23),"")</f>
        <v/>
      </c>
      <c r="AM17" s="57" t="str">
        <f>IF(AND('Riesgos gestion'!$Z$24="Alta",'Riesgos gestion'!$AB$24="Catastrófico"),CONCATENATE("R2C",'Riesgos gestion'!$P$24),"")</f>
        <v/>
      </c>
      <c r="AN17" s="83"/>
      <c r="AO17" s="622"/>
      <c r="AP17" s="623"/>
      <c r="AQ17" s="623"/>
      <c r="AR17" s="623"/>
      <c r="AS17" s="623"/>
      <c r="AT17" s="624"/>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3">
      <c r="A18" s="83"/>
      <c r="B18" s="571"/>
      <c r="C18" s="571"/>
      <c r="D18" s="572"/>
      <c r="E18" s="612"/>
      <c r="F18" s="613"/>
      <c r="G18" s="613"/>
      <c r="H18" s="613"/>
      <c r="I18" s="613"/>
      <c r="J18" s="67" t="str">
        <f>IF(AND('Riesgos gestion'!$Z$25="Alta",'Riesgos gestion'!$AB$25="Leve"),CONCATENATE("R3C",'Riesgos gestion'!$P$25),"")</f>
        <v/>
      </c>
      <c r="K18" s="68" t="str">
        <f>IF(AND('Riesgos gestion'!$Z$26="Alta",'Riesgos gestion'!$AB$26="Leve"),CONCATENATE("R3C",'Riesgos gestion'!$P$26),"")</f>
        <v/>
      </c>
      <c r="L18" s="68" t="str">
        <f>IF(AND('Riesgos gestion'!$Z$27="Alta",'Riesgos gestion'!$AB$27="Leve"),CONCATENATE("R3C",'Riesgos gestion'!$P$27),"")</f>
        <v/>
      </c>
      <c r="M18" s="68" t="str">
        <f>IF(AND('Riesgos gestion'!$Z$28="Alta",'Riesgos gestion'!$AB$28="Leve"),CONCATENATE("R3C",'Riesgos gestion'!$P$28),"")</f>
        <v/>
      </c>
      <c r="N18" s="68" t="str">
        <f>IF(AND('Riesgos gestion'!$Z$29="Alta",'Riesgos gestion'!$AB$29="Leve"),CONCATENATE("R3C",'Riesgos gestion'!$P$29),"")</f>
        <v/>
      </c>
      <c r="O18" s="69" t="str">
        <f>IF(AND('Riesgos gestion'!$Z$30="Alta",'Riesgos gestion'!$AB$30="Leve"),CONCATENATE("R3C",'Riesgos gestion'!$P$30),"")</f>
        <v/>
      </c>
      <c r="P18" s="67" t="str">
        <f>IF(AND('Riesgos gestion'!$Z$25="Alta",'Riesgos gestion'!$AB$25="Menor"),CONCATENATE("R3C",'Riesgos gestion'!$P$25),"")</f>
        <v/>
      </c>
      <c r="Q18" s="68" t="str">
        <f>IF(AND('Riesgos gestion'!$Z$26="Alta",'Riesgos gestion'!$AB$26="Menor"),CONCATENATE("R3C",'Riesgos gestion'!$P$26),"")</f>
        <v/>
      </c>
      <c r="R18" s="68" t="str">
        <f>IF(AND('Riesgos gestion'!$Z$27="Alta",'Riesgos gestion'!$AB$27="Menor"),CONCATENATE("R3C",'Riesgos gestion'!$P$27),"")</f>
        <v/>
      </c>
      <c r="S18" s="68" t="str">
        <f>IF(AND('Riesgos gestion'!$Z$28="Alta",'Riesgos gestion'!$AB$28="Menor"),CONCATENATE("R3C",'Riesgos gestion'!$P$28),"")</f>
        <v/>
      </c>
      <c r="T18" s="68" t="str">
        <f>IF(AND('Riesgos gestion'!$Z$29="Alta",'Riesgos gestion'!$AB$29="Menor"),CONCATENATE("R3C",'Riesgos gestion'!$P$29),"")</f>
        <v/>
      </c>
      <c r="U18" s="69" t="str">
        <f>IF(AND('Riesgos gestion'!$Z$30="Alta",'Riesgos gestion'!$AB$30="Menor"),CONCATENATE("R3C",'Riesgos gestion'!$P$30),"")</f>
        <v/>
      </c>
      <c r="V18" s="52" t="str">
        <f>IF(AND('Riesgos gestion'!$Z$25="Alta",'Riesgos gestion'!$AB$25="Moderado"),CONCATENATE("R3C",'Riesgos gestion'!$P$25),"")</f>
        <v/>
      </c>
      <c r="W18" s="53" t="str">
        <f>IF(AND('Riesgos gestion'!$Z$26="Alta",'Riesgos gestion'!$AB$26="Moderado"),CONCATENATE("R3C",'Riesgos gestion'!$P$26),"")</f>
        <v/>
      </c>
      <c r="X18" s="53" t="str">
        <f>IF(AND('Riesgos gestion'!$Z$27="Alta",'Riesgos gestion'!$AB$27="Moderado"),CONCATENATE("R3C",'Riesgos gestion'!$P$27),"")</f>
        <v/>
      </c>
      <c r="Y18" s="53" t="str">
        <f>IF(AND('Riesgos gestion'!$Z$28="Alta",'Riesgos gestion'!$AB$28="Moderado"),CONCATENATE("R3C",'Riesgos gestion'!$P$28),"")</f>
        <v/>
      </c>
      <c r="Z18" s="53" t="str">
        <f>IF(AND('Riesgos gestion'!$Z$29="Alta",'Riesgos gestion'!$AB$29="Moderado"),CONCATENATE("R3C",'Riesgos gestion'!$P$29),"")</f>
        <v/>
      </c>
      <c r="AA18" s="54" t="str">
        <f>IF(AND('Riesgos gestion'!$Z$30="Alta",'Riesgos gestion'!$AB$30="Moderado"),CONCATENATE("R3C",'Riesgos gestion'!$P$30),"")</f>
        <v/>
      </c>
      <c r="AB18" s="52" t="str">
        <f>IF(AND('Riesgos gestion'!$Z$25="Alta",'Riesgos gestion'!$AB$25="Mayor"),CONCATENATE("R3C",'Riesgos gestion'!$P$25),"")</f>
        <v/>
      </c>
      <c r="AC18" s="53" t="str">
        <f>IF(AND('Riesgos gestion'!$Z$26="Alta",'Riesgos gestion'!$AB$26="Mayor"),CONCATENATE("R3C",'Riesgos gestion'!$P$26),"")</f>
        <v/>
      </c>
      <c r="AD18" s="53" t="str">
        <f>IF(AND('Riesgos gestion'!$Z$27="Alta",'Riesgos gestion'!$AB$27="Mayor"),CONCATENATE("R3C",'Riesgos gestion'!$P$27),"")</f>
        <v/>
      </c>
      <c r="AE18" s="53" t="str">
        <f>IF(AND('Riesgos gestion'!$Z$28="Alta",'Riesgos gestion'!$AB$28="Mayor"),CONCATENATE("R3C",'Riesgos gestion'!$P$28),"")</f>
        <v/>
      </c>
      <c r="AF18" s="53" t="str">
        <f>IF(AND('Riesgos gestion'!$Z$29="Alta",'Riesgos gestion'!$AB$29="Mayor"),CONCATENATE("R3C",'Riesgos gestion'!$P$29),"")</f>
        <v/>
      </c>
      <c r="AG18" s="54" t="str">
        <f>IF(AND('Riesgos gestion'!$Z$30="Alta",'Riesgos gestion'!$AB$30="Mayor"),CONCATENATE("R3C",'Riesgos gestion'!$P$30),"")</f>
        <v/>
      </c>
      <c r="AH18" s="55" t="str">
        <f>IF(AND('Riesgos gestion'!$Z$25="Alta",'Riesgos gestion'!$AB$25="Catastrófico"),CONCATENATE("R3C",'Riesgos gestion'!$P$25),"")</f>
        <v/>
      </c>
      <c r="AI18" s="56" t="str">
        <f>IF(AND('Riesgos gestion'!$Z$26="Alta",'Riesgos gestion'!$AB$26="Catastrófico"),CONCATENATE("R3C",'Riesgos gestion'!$P$26),"")</f>
        <v/>
      </c>
      <c r="AJ18" s="56" t="str">
        <f>IF(AND('Riesgos gestion'!$Z$27="Alta",'Riesgos gestion'!$AB$27="Catastrófico"),CONCATENATE("R3C",'Riesgos gestion'!$P$27),"")</f>
        <v/>
      </c>
      <c r="AK18" s="56" t="str">
        <f>IF(AND('Riesgos gestion'!$Z$28="Alta",'Riesgos gestion'!$AB$28="Catastrófico"),CONCATENATE("R3C",'Riesgos gestion'!$P$28),"")</f>
        <v/>
      </c>
      <c r="AL18" s="56" t="str">
        <f>IF(AND('Riesgos gestion'!$Z$29="Alta",'Riesgos gestion'!$AB$29="Catastrófico"),CONCATENATE("R3C",'Riesgos gestion'!$P$29),"")</f>
        <v/>
      </c>
      <c r="AM18" s="57" t="str">
        <f>IF(AND('Riesgos gestion'!$Z$30="Alta",'Riesgos gestion'!$AB$30="Catastrófico"),CONCATENATE("R3C",'Riesgos gestion'!$P$30),"")</f>
        <v/>
      </c>
      <c r="AN18" s="83"/>
      <c r="AO18" s="622"/>
      <c r="AP18" s="623"/>
      <c r="AQ18" s="623"/>
      <c r="AR18" s="623"/>
      <c r="AS18" s="623"/>
      <c r="AT18" s="624"/>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3">
      <c r="A19" s="83"/>
      <c r="B19" s="571"/>
      <c r="C19" s="571"/>
      <c r="D19" s="572"/>
      <c r="E19" s="612"/>
      <c r="F19" s="613"/>
      <c r="G19" s="613"/>
      <c r="H19" s="613"/>
      <c r="I19" s="613"/>
      <c r="J19" s="67" t="str">
        <f>IF(AND('Riesgos gestion'!$Z$31="Alta",'Riesgos gestion'!$AB$31="Leve"),CONCATENATE("R4C",'Riesgos gestion'!$P$31),"")</f>
        <v/>
      </c>
      <c r="K19" s="68" t="str">
        <f>IF(AND('Riesgos gestion'!$Z$32="Alta",'Riesgos gestion'!$AB$32="Leve"),CONCATENATE("R4C",'Riesgos gestion'!$P$32),"")</f>
        <v/>
      </c>
      <c r="L19" s="68" t="str">
        <f>IF(AND('Riesgos gestion'!$Z$33="Alta",'Riesgos gestion'!$AB$33="Leve"),CONCATENATE("R4C",'Riesgos gestion'!$P$33),"")</f>
        <v/>
      </c>
      <c r="M19" s="68" t="str">
        <f>IF(AND('Riesgos gestion'!$Z$34="Alta",'Riesgos gestion'!$AB$34="Leve"),CONCATENATE("R4C",'Riesgos gestion'!$P$34),"")</f>
        <v/>
      </c>
      <c r="N19" s="68" t="str">
        <f>IF(AND('Riesgos gestion'!$Z$35="Alta",'Riesgos gestion'!$AB$35="Leve"),CONCATENATE("R4C",'Riesgos gestion'!$P$35),"")</f>
        <v/>
      </c>
      <c r="O19" s="69" t="str">
        <f>IF(AND('Riesgos gestion'!$Z$36="Alta",'Riesgos gestion'!$AB$36="Leve"),CONCATENATE("R4C",'Riesgos gestion'!$P$36),"")</f>
        <v/>
      </c>
      <c r="P19" s="67" t="str">
        <f>IF(AND('Riesgos gestion'!$Z$31="Alta",'Riesgos gestion'!$AB$31="Menor"),CONCATENATE("R4C",'Riesgos gestion'!$P$31),"")</f>
        <v/>
      </c>
      <c r="Q19" s="68" t="str">
        <f>IF(AND('Riesgos gestion'!$Z$32="Alta",'Riesgos gestion'!$AB$32="Menor"),CONCATENATE("R4C",'Riesgos gestion'!$P$32),"")</f>
        <v/>
      </c>
      <c r="R19" s="68" t="str">
        <f>IF(AND('Riesgos gestion'!$Z$33="Alta",'Riesgos gestion'!$AB$33="Menor"),CONCATENATE("R4C",'Riesgos gestion'!$P$33),"")</f>
        <v/>
      </c>
      <c r="S19" s="68" t="str">
        <f>IF(AND('Riesgos gestion'!$Z$34="Alta",'Riesgos gestion'!$AB$34="Menor"),CONCATENATE("R4C",'Riesgos gestion'!$P$34),"")</f>
        <v/>
      </c>
      <c r="T19" s="68" t="str">
        <f>IF(AND('Riesgos gestion'!$Z$35="Alta",'Riesgos gestion'!$AB$35="Menor"),CONCATENATE("R4C",'Riesgos gestion'!$P$35),"")</f>
        <v/>
      </c>
      <c r="U19" s="69" t="str">
        <f>IF(AND('Riesgos gestion'!$Z$36="Alta",'Riesgos gestion'!$AB$36="Menor"),CONCATENATE("R4C",'Riesgos gestion'!$P$36),"")</f>
        <v/>
      </c>
      <c r="V19" s="52" t="str">
        <f>IF(AND('Riesgos gestion'!$Z$31="Alta",'Riesgos gestion'!$AB$31="Moderado"),CONCATENATE("R4C",'Riesgos gestion'!$P$31),"")</f>
        <v/>
      </c>
      <c r="W19" s="53" t="str">
        <f>IF(AND('Riesgos gestion'!$Z$32="Alta",'Riesgos gestion'!$AB$32="Moderado"),CONCATENATE("R4C",'Riesgos gestion'!$P$32),"")</f>
        <v/>
      </c>
      <c r="X19" s="53" t="str">
        <f>IF(AND('Riesgos gestion'!$Z$33="Alta",'Riesgos gestion'!$AB$33="Moderado"),CONCATENATE("R4C",'Riesgos gestion'!$P$33),"")</f>
        <v/>
      </c>
      <c r="Y19" s="53" t="str">
        <f>IF(AND('Riesgos gestion'!$Z$34="Alta",'Riesgos gestion'!$AB$34="Moderado"),CONCATENATE("R4C",'Riesgos gestion'!$P$34),"")</f>
        <v/>
      </c>
      <c r="Z19" s="53" t="str">
        <f>IF(AND('Riesgos gestion'!$Z$35="Alta",'Riesgos gestion'!$AB$35="Moderado"),CONCATENATE("R4C",'Riesgos gestion'!$P$35),"")</f>
        <v/>
      </c>
      <c r="AA19" s="54" t="str">
        <f>IF(AND('Riesgos gestion'!$Z$36="Alta",'Riesgos gestion'!$AB$36="Moderado"),CONCATENATE("R4C",'Riesgos gestion'!$P$36),"")</f>
        <v/>
      </c>
      <c r="AB19" s="52" t="str">
        <f>IF(AND('Riesgos gestion'!$Z$31="Alta",'Riesgos gestion'!$AB$31="Mayor"),CONCATENATE("R4C",'Riesgos gestion'!$P$31),"")</f>
        <v/>
      </c>
      <c r="AC19" s="53" t="str">
        <f>IF(AND('Riesgos gestion'!$Z$32="Alta",'Riesgos gestion'!$AB$32="Mayor"),CONCATENATE("R4C",'Riesgos gestion'!$P$32),"")</f>
        <v/>
      </c>
      <c r="AD19" s="53" t="str">
        <f>IF(AND('Riesgos gestion'!$Z$33="Alta",'Riesgos gestion'!$AB$33="Mayor"),CONCATENATE("R4C",'Riesgos gestion'!$P$33),"")</f>
        <v/>
      </c>
      <c r="AE19" s="53" t="str">
        <f>IF(AND('Riesgos gestion'!$Z$34="Alta",'Riesgos gestion'!$AB$34="Mayor"),CONCATENATE("R4C",'Riesgos gestion'!$P$34),"")</f>
        <v/>
      </c>
      <c r="AF19" s="53" t="str">
        <f>IF(AND('Riesgos gestion'!$Z$35="Alta",'Riesgos gestion'!$AB$35="Mayor"),CONCATENATE("R4C",'Riesgos gestion'!$P$35),"")</f>
        <v/>
      </c>
      <c r="AG19" s="54" t="str">
        <f>IF(AND('Riesgos gestion'!$Z$36="Alta",'Riesgos gestion'!$AB$36="Mayor"),CONCATENATE("R4C",'Riesgos gestion'!$P$36),"")</f>
        <v/>
      </c>
      <c r="AH19" s="55" t="str">
        <f>IF(AND('Riesgos gestion'!$Z$31="Alta",'Riesgos gestion'!$AB$31="Catastrófico"),CONCATENATE("R4C",'Riesgos gestion'!$P$31),"")</f>
        <v/>
      </c>
      <c r="AI19" s="56" t="str">
        <f>IF(AND('Riesgos gestion'!$Z$32="Alta",'Riesgos gestion'!$AB$32="Catastrófico"),CONCATENATE("R4C",'Riesgos gestion'!$P$32),"")</f>
        <v/>
      </c>
      <c r="AJ19" s="56" t="str">
        <f>IF(AND('Riesgos gestion'!$Z$33="Alta",'Riesgos gestion'!$AB$33="Catastrófico"),CONCATENATE("R4C",'Riesgos gestion'!$P$33),"")</f>
        <v/>
      </c>
      <c r="AK19" s="56" t="str">
        <f>IF(AND('Riesgos gestion'!$Z$34="Alta",'Riesgos gestion'!$AB$34="Catastrófico"),CONCATENATE("R4C",'Riesgos gestion'!$P$34),"")</f>
        <v/>
      </c>
      <c r="AL19" s="56" t="str">
        <f>IF(AND('Riesgos gestion'!$Z$35="Alta",'Riesgos gestion'!$AB$35="Catastrófico"),CONCATENATE("R4C",'Riesgos gestion'!$P$35),"")</f>
        <v/>
      </c>
      <c r="AM19" s="57" t="str">
        <f>IF(AND('Riesgos gestion'!$Z$36="Alta",'Riesgos gestion'!$AB$36="Catastrófico"),CONCATENATE("R4C",'Riesgos gestion'!$P$36),"")</f>
        <v/>
      </c>
      <c r="AN19" s="83"/>
      <c r="AO19" s="622"/>
      <c r="AP19" s="623"/>
      <c r="AQ19" s="623"/>
      <c r="AR19" s="623"/>
      <c r="AS19" s="623"/>
      <c r="AT19" s="624"/>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3">
      <c r="A20" s="83"/>
      <c r="B20" s="571"/>
      <c r="C20" s="571"/>
      <c r="D20" s="572"/>
      <c r="E20" s="612"/>
      <c r="F20" s="613"/>
      <c r="G20" s="613"/>
      <c r="H20" s="613"/>
      <c r="I20" s="613"/>
      <c r="J20" s="67" t="str">
        <f>IF(AND('Riesgos gestion'!$Z$37="Alta",'Riesgos gestion'!$AB$37="Leve"),CONCATENATE("R5C",'Riesgos gestion'!$P$37),"")</f>
        <v/>
      </c>
      <c r="K20" s="68" t="str">
        <f>IF(AND('Riesgos gestion'!$Z$38="Alta",'Riesgos gestion'!$AB$38="Leve"),CONCATENATE("R5C",'Riesgos gestion'!$P$38),"")</f>
        <v/>
      </c>
      <c r="L20" s="68" t="str">
        <f>IF(AND('Riesgos gestion'!$Z$39="Alta",'Riesgos gestion'!$AB$39="Leve"),CONCATENATE("R5C",'Riesgos gestion'!$P$39),"")</f>
        <v/>
      </c>
      <c r="M20" s="68" t="str">
        <f>IF(AND('Riesgos gestion'!$Z$40="Alta",'Riesgos gestion'!$AB$40="Leve"),CONCATENATE("R5C",'Riesgos gestion'!$P$40),"")</f>
        <v/>
      </c>
      <c r="N20" s="68" t="str">
        <f>IF(AND('Riesgos gestion'!$Z$41="Alta",'Riesgos gestion'!$AB$41="Leve"),CONCATENATE("R5C",'Riesgos gestion'!$P$41),"")</f>
        <v/>
      </c>
      <c r="O20" s="69" t="str">
        <f>IF(AND('Riesgos gestion'!$Z$42="Alta",'Riesgos gestion'!$AB$42="Leve"),CONCATENATE("R5C",'Riesgos gestion'!$P$42),"")</f>
        <v/>
      </c>
      <c r="P20" s="67" t="str">
        <f>IF(AND('Riesgos gestion'!$Z$37="Alta",'Riesgos gestion'!$AB$37="Menor"),CONCATENATE("R5C",'Riesgos gestion'!$P$37),"")</f>
        <v/>
      </c>
      <c r="Q20" s="68" t="str">
        <f>IF(AND('Riesgos gestion'!$Z$38="Alta",'Riesgos gestion'!$AB$38="Menor"),CONCATENATE("R5C",'Riesgos gestion'!$P$38),"")</f>
        <v/>
      </c>
      <c r="R20" s="68" t="str">
        <f>IF(AND('Riesgos gestion'!$Z$39="Alta",'Riesgos gestion'!$AB$39="Menor"),CONCATENATE("R5C",'Riesgos gestion'!$P$39),"")</f>
        <v/>
      </c>
      <c r="S20" s="68" t="str">
        <f>IF(AND('Riesgos gestion'!$Z$40="Alta",'Riesgos gestion'!$AB$40="Menor"),CONCATENATE("R5C",'Riesgos gestion'!$P$40),"")</f>
        <v/>
      </c>
      <c r="T20" s="68" t="str">
        <f>IF(AND('Riesgos gestion'!$Z$41="Alta",'Riesgos gestion'!$AB$41="Menor"),CONCATENATE("R5C",'Riesgos gestion'!$P$41),"")</f>
        <v/>
      </c>
      <c r="U20" s="69" t="str">
        <f>IF(AND('Riesgos gestion'!$Z$42="Alta",'Riesgos gestion'!$AB$42="Menor"),CONCATENATE("R5C",'Riesgos gestion'!$P$42),"")</f>
        <v/>
      </c>
      <c r="V20" s="52" t="str">
        <f>IF(AND('Riesgos gestion'!$Z$37="Alta",'Riesgos gestion'!$AB$37="Moderado"),CONCATENATE("R5C",'Riesgos gestion'!$P$37),"")</f>
        <v/>
      </c>
      <c r="W20" s="53" t="str">
        <f>IF(AND('Riesgos gestion'!$Z$38="Alta",'Riesgos gestion'!$AB$38="Moderado"),CONCATENATE("R5C",'Riesgos gestion'!$P$38),"")</f>
        <v/>
      </c>
      <c r="X20" s="53" t="str">
        <f>IF(AND('Riesgos gestion'!$Z$39="Alta",'Riesgos gestion'!$AB$39="Moderado"),CONCATENATE("R5C",'Riesgos gestion'!$P$39),"")</f>
        <v/>
      </c>
      <c r="Y20" s="53" t="str">
        <f>IF(AND('Riesgos gestion'!$Z$40="Alta",'Riesgos gestion'!$AB$40="Moderado"),CONCATENATE("R5C",'Riesgos gestion'!$P$40),"")</f>
        <v/>
      </c>
      <c r="Z20" s="53" t="str">
        <f>IF(AND('Riesgos gestion'!$Z$41="Alta",'Riesgos gestion'!$AB$41="Moderado"),CONCATENATE("R5C",'Riesgos gestion'!$P$41),"")</f>
        <v/>
      </c>
      <c r="AA20" s="54" t="str">
        <f>IF(AND('Riesgos gestion'!$Z$42="Alta",'Riesgos gestion'!$AB$42="Moderado"),CONCATENATE("R5C",'Riesgos gestion'!$P$42),"")</f>
        <v/>
      </c>
      <c r="AB20" s="52" t="str">
        <f>IF(AND('Riesgos gestion'!$Z$37="Alta",'Riesgos gestion'!$AB$37="Mayor"),CONCATENATE("R5C",'Riesgos gestion'!$P$37),"")</f>
        <v/>
      </c>
      <c r="AC20" s="53" t="str">
        <f>IF(AND('Riesgos gestion'!$Z$38="Alta",'Riesgos gestion'!$AB$38="Mayor"),CONCATENATE("R5C",'Riesgos gestion'!$P$38),"")</f>
        <v/>
      </c>
      <c r="AD20" s="53" t="str">
        <f>IF(AND('Riesgos gestion'!$Z$39="Alta",'Riesgos gestion'!$AB$39="Mayor"),CONCATENATE("R5C",'Riesgos gestion'!$P$39),"")</f>
        <v/>
      </c>
      <c r="AE20" s="53" t="str">
        <f>IF(AND('Riesgos gestion'!$Z$40="Alta",'Riesgos gestion'!$AB$40="Mayor"),CONCATENATE("R5C",'Riesgos gestion'!$P$40),"")</f>
        <v/>
      </c>
      <c r="AF20" s="53" t="str">
        <f>IF(AND('Riesgos gestion'!$Z$41="Alta",'Riesgos gestion'!$AB$41="Mayor"),CONCATENATE("R5C",'Riesgos gestion'!$P$41),"")</f>
        <v/>
      </c>
      <c r="AG20" s="54" t="str">
        <f>IF(AND('Riesgos gestion'!$Z$42="Alta",'Riesgos gestion'!$AB$42="Mayor"),CONCATENATE("R5C",'Riesgos gestion'!$P$42),"")</f>
        <v/>
      </c>
      <c r="AH20" s="55" t="str">
        <f>IF(AND('Riesgos gestion'!$Z$37="Alta",'Riesgos gestion'!$AB$37="Catastrófico"),CONCATENATE("R5C",'Riesgos gestion'!$P$37),"")</f>
        <v/>
      </c>
      <c r="AI20" s="56" t="str">
        <f>IF(AND('Riesgos gestion'!$Z$38="Alta",'Riesgos gestion'!$AB$38="Catastrófico"),CONCATENATE("R5C",'Riesgos gestion'!$P$38),"")</f>
        <v/>
      </c>
      <c r="AJ20" s="56" t="str">
        <f>IF(AND('Riesgos gestion'!$Z$39="Alta",'Riesgos gestion'!$AB$39="Catastrófico"),CONCATENATE("R5C",'Riesgos gestion'!$P$39),"")</f>
        <v/>
      </c>
      <c r="AK20" s="56" t="str">
        <f>IF(AND('Riesgos gestion'!$Z$40="Alta",'Riesgos gestion'!$AB$40="Catastrófico"),CONCATENATE("R5C",'Riesgos gestion'!$P$40),"")</f>
        <v/>
      </c>
      <c r="AL20" s="56" t="str">
        <f>IF(AND('Riesgos gestion'!$Z$41="Alta",'Riesgos gestion'!$AB$41="Catastrófico"),CONCATENATE("R5C",'Riesgos gestion'!$P$41),"")</f>
        <v/>
      </c>
      <c r="AM20" s="57" t="str">
        <f>IF(AND('Riesgos gestion'!$Z$42="Alta",'Riesgos gestion'!$AB$42="Catastrófico"),CONCATENATE("R5C",'Riesgos gestion'!$P$42),"")</f>
        <v/>
      </c>
      <c r="AN20" s="83"/>
      <c r="AO20" s="622"/>
      <c r="AP20" s="623"/>
      <c r="AQ20" s="623"/>
      <c r="AR20" s="623"/>
      <c r="AS20" s="623"/>
      <c r="AT20" s="624"/>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3">
      <c r="A21" s="83"/>
      <c r="B21" s="571"/>
      <c r="C21" s="571"/>
      <c r="D21" s="572"/>
      <c r="E21" s="612"/>
      <c r="F21" s="613"/>
      <c r="G21" s="613"/>
      <c r="H21" s="613"/>
      <c r="I21" s="613"/>
      <c r="J21" s="67" t="str">
        <f>IF(AND('Riesgos gestion'!$Z$43="Alta",'Riesgos gestion'!$AB$43="Leve"),CONCATENATE("R6C",'Riesgos gestion'!$P$43),"")</f>
        <v/>
      </c>
      <c r="K21" s="68" t="str">
        <f>IF(AND('Riesgos gestion'!$Z$44="Alta",'Riesgos gestion'!$AB$44="Leve"),CONCATENATE("R6C",'Riesgos gestion'!$P$44),"")</f>
        <v/>
      </c>
      <c r="L21" s="68" t="str">
        <f>IF(AND('Riesgos gestion'!$Z$45="Alta",'Riesgos gestion'!$AB$45="Leve"),CONCATENATE("R6C",'Riesgos gestion'!$P$45),"")</f>
        <v/>
      </c>
      <c r="M21" s="68" t="str">
        <f>IF(AND('Riesgos gestion'!$Z$46="Alta",'Riesgos gestion'!$AB$46="Leve"),CONCATENATE("R6C",'Riesgos gestion'!$P$46),"")</f>
        <v/>
      </c>
      <c r="N21" s="68" t="str">
        <f>IF(AND('Riesgos gestion'!$Z$47="Alta",'Riesgos gestion'!$AB$47="Leve"),CONCATENATE("R6C",'Riesgos gestion'!$P$47),"")</f>
        <v/>
      </c>
      <c r="O21" s="69" t="str">
        <f>IF(AND('Riesgos gestion'!$Z$48="Alta",'Riesgos gestion'!$AB$48="Leve"),CONCATENATE("R6C",'Riesgos gestion'!$P$48),"")</f>
        <v/>
      </c>
      <c r="P21" s="67" t="str">
        <f>IF(AND('Riesgos gestion'!$Z$43="Alta",'Riesgos gestion'!$AB$43="Menor"),CONCATENATE("R6C",'Riesgos gestion'!$P$43),"")</f>
        <v/>
      </c>
      <c r="Q21" s="68" t="str">
        <f>IF(AND('Riesgos gestion'!$Z$44="Alta",'Riesgos gestion'!$AB$44="Menor"),CONCATENATE("R6C",'Riesgos gestion'!$P$44),"")</f>
        <v/>
      </c>
      <c r="R21" s="68" t="str">
        <f>IF(AND('Riesgos gestion'!$Z$45="Alta",'Riesgos gestion'!$AB$45="Menor"),CONCATENATE("R6C",'Riesgos gestion'!$P$45),"")</f>
        <v/>
      </c>
      <c r="S21" s="68" t="str">
        <f>IF(AND('Riesgos gestion'!$Z$46="Alta",'Riesgos gestion'!$AB$46="Menor"),CONCATENATE("R6C",'Riesgos gestion'!$P$46),"")</f>
        <v/>
      </c>
      <c r="T21" s="68" t="str">
        <f>IF(AND('Riesgos gestion'!$Z$47="Alta",'Riesgos gestion'!$AB$47="Menor"),CONCATENATE("R6C",'Riesgos gestion'!$P$47),"")</f>
        <v/>
      </c>
      <c r="U21" s="69" t="str">
        <f>IF(AND('Riesgos gestion'!$Z$48="Alta",'Riesgos gestion'!$AB$48="Menor"),CONCATENATE("R6C",'Riesgos gestion'!$P$48),"")</f>
        <v/>
      </c>
      <c r="V21" s="52" t="str">
        <f>IF(AND('Riesgos gestion'!$Z$43="Alta",'Riesgos gestion'!$AB$43="Moderado"),CONCATENATE("R6C",'Riesgos gestion'!$P$43),"")</f>
        <v/>
      </c>
      <c r="W21" s="53" t="str">
        <f>IF(AND('Riesgos gestion'!$Z$44="Alta",'Riesgos gestion'!$AB$44="Moderado"),CONCATENATE("R6C",'Riesgos gestion'!$P$44),"")</f>
        <v/>
      </c>
      <c r="X21" s="53" t="str">
        <f>IF(AND('Riesgos gestion'!$Z$45="Alta",'Riesgos gestion'!$AB$45="Moderado"),CONCATENATE("R6C",'Riesgos gestion'!$P$45),"")</f>
        <v/>
      </c>
      <c r="Y21" s="53" t="str">
        <f>IF(AND('Riesgos gestion'!$Z$46="Alta",'Riesgos gestion'!$AB$46="Moderado"),CONCATENATE("R6C",'Riesgos gestion'!$P$46),"")</f>
        <v/>
      </c>
      <c r="Z21" s="53" t="str">
        <f>IF(AND('Riesgos gestion'!$Z$47="Alta",'Riesgos gestion'!$AB$47="Moderado"),CONCATENATE("R6C",'Riesgos gestion'!$P$47),"")</f>
        <v/>
      </c>
      <c r="AA21" s="54" t="str">
        <f>IF(AND('Riesgos gestion'!$Z$48="Alta",'Riesgos gestion'!$AB$48="Moderado"),CONCATENATE("R6C",'Riesgos gestion'!$P$48),"")</f>
        <v/>
      </c>
      <c r="AB21" s="52" t="str">
        <f>IF(AND('Riesgos gestion'!$Z$43="Alta",'Riesgos gestion'!$AB$43="Mayor"),CONCATENATE("R6C",'Riesgos gestion'!$P$43),"")</f>
        <v/>
      </c>
      <c r="AC21" s="53" t="str">
        <f>IF(AND('Riesgos gestion'!$Z$44="Alta",'Riesgos gestion'!$AB$44="Mayor"),CONCATENATE("R6C",'Riesgos gestion'!$P$44),"")</f>
        <v/>
      </c>
      <c r="AD21" s="53" t="str">
        <f>IF(AND('Riesgos gestion'!$Z$45="Alta",'Riesgos gestion'!$AB$45="Mayor"),CONCATENATE("R6C",'Riesgos gestion'!$P$45),"")</f>
        <v/>
      </c>
      <c r="AE21" s="53" t="str">
        <f>IF(AND('Riesgos gestion'!$Z$46="Alta",'Riesgos gestion'!$AB$46="Mayor"),CONCATENATE("R6C",'Riesgos gestion'!$P$46),"")</f>
        <v/>
      </c>
      <c r="AF21" s="53" t="str">
        <f>IF(AND('Riesgos gestion'!$Z$47="Alta",'Riesgos gestion'!$AB$47="Mayor"),CONCATENATE("R6C",'Riesgos gestion'!$P$47),"")</f>
        <v/>
      </c>
      <c r="AG21" s="54" t="str">
        <f>IF(AND('Riesgos gestion'!$Z$48="Alta",'Riesgos gestion'!$AB$48="Mayor"),CONCATENATE("R6C",'Riesgos gestion'!$P$48),"")</f>
        <v/>
      </c>
      <c r="AH21" s="55" t="str">
        <f>IF(AND('Riesgos gestion'!$Z$43="Alta",'Riesgos gestion'!$AB$43="Catastrófico"),CONCATENATE("R6C",'Riesgos gestion'!$P$43),"")</f>
        <v/>
      </c>
      <c r="AI21" s="56" t="str">
        <f>IF(AND('Riesgos gestion'!$Z$44="Alta",'Riesgos gestion'!$AB$44="Catastrófico"),CONCATENATE("R6C",'Riesgos gestion'!$P$44),"")</f>
        <v/>
      </c>
      <c r="AJ21" s="56" t="str">
        <f>IF(AND('Riesgos gestion'!$Z$45="Alta",'Riesgos gestion'!$AB$45="Catastrófico"),CONCATENATE("R6C",'Riesgos gestion'!$P$45),"")</f>
        <v/>
      </c>
      <c r="AK21" s="56" t="str">
        <f>IF(AND('Riesgos gestion'!$Z$46="Alta",'Riesgos gestion'!$AB$46="Catastrófico"),CONCATENATE("R6C",'Riesgos gestion'!$P$46),"")</f>
        <v/>
      </c>
      <c r="AL21" s="56" t="str">
        <f>IF(AND('Riesgos gestion'!$Z$47="Alta",'Riesgos gestion'!$AB$47="Catastrófico"),CONCATENATE("R6C",'Riesgos gestion'!$P$47),"")</f>
        <v/>
      </c>
      <c r="AM21" s="57" t="str">
        <f>IF(AND('Riesgos gestion'!$Z$48="Alta",'Riesgos gestion'!$AB$48="Catastrófico"),CONCATENATE("R6C",'Riesgos gestion'!$P$48),"")</f>
        <v/>
      </c>
      <c r="AN21" s="83"/>
      <c r="AO21" s="622"/>
      <c r="AP21" s="623"/>
      <c r="AQ21" s="623"/>
      <c r="AR21" s="623"/>
      <c r="AS21" s="623"/>
      <c r="AT21" s="62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3">
      <c r="A22" s="83"/>
      <c r="B22" s="571"/>
      <c r="C22" s="571"/>
      <c r="D22" s="572"/>
      <c r="E22" s="612"/>
      <c r="F22" s="613"/>
      <c r="G22" s="613"/>
      <c r="H22" s="613"/>
      <c r="I22" s="613"/>
      <c r="J22" s="67" t="str">
        <f>IF(AND('Riesgos gestion'!$Z$49="Alta",'Riesgos gestion'!$AB$49="Leve"),CONCATENATE("R7C",'Riesgos gestion'!$P$49),"")</f>
        <v/>
      </c>
      <c r="K22" s="68" t="str">
        <f>IF(AND('Riesgos gestion'!$Z$50="Alta",'Riesgos gestion'!$AB$50="Leve"),CONCATENATE("R7C",'Riesgos gestion'!$P$50),"")</f>
        <v/>
      </c>
      <c r="L22" s="68" t="str">
        <f>IF(AND('Riesgos gestion'!$Z$51="Alta",'Riesgos gestion'!$AB$51="Leve"),CONCATENATE("R7C",'Riesgos gestion'!$P$51),"")</f>
        <v/>
      </c>
      <c r="M22" s="68" t="str">
        <f>IF(AND('Riesgos gestion'!$Z$52="Alta",'Riesgos gestion'!$AB$52="Leve"),CONCATENATE("R7C",'Riesgos gestion'!$P$52),"")</f>
        <v/>
      </c>
      <c r="N22" s="68" t="str">
        <f>IF(AND('Riesgos gestion'!$Z$53="Alta",'Riesgos gestion'!$AB$53="Leve"),CONCATENATE("R7C",'Riesgos gestion'!$P$53),"")</f>
        <v/>
      </c>
      <c r="O22" s="69" t="str">
        <f>IF(AND('Riesgos gestion'!$Z$54="Alta",'Riesgos gestion'!$AB$54="Leve"),CONCATENATE("R7C",'Riesgos gestion'!$P$54),"")</f>
        <v/>
      </c>
      <c r="P22" s="67" t="str">
        <f>IF(AND('Riesgos gestion'!$Z$49="Alta",'Riesgos gestion'!$AB$49="Menor"),CONCATENATE("R7C",'Riesgos gestion'!$P$49),"")</f>
        <v/>
      </c>
      <c r="Q22" s="68" t="str">
        <f>IF(AND('Riesgos gestion'!$Z$50="Alta",'Riesgos gestion'!$AB$50="Menor"),CONCATENATE("R7C",'Riesgos gestion'!$P$50),"")</f>
        <v/>
      </c>
      <c r="R22" s="68" t="str">
        <f>IF(AND('Riesgos gestion'!$Z$51="Alta",'Riesgos gestion'!$AB$51="Menor"),CONCATENATE("R7C",'Riesgos gestion'!$P$51),"")</f>
        <v/>
      </c>
      <c r="S22" s="68" t="str">
        <f>IF(AND('Riesgos gestion'!$Z$52="Alta",'Riesgos gestion'!$AB$52="Menor"),CONCATENATE("R7C",'Riesgos gestion'!$P$52),"")</f>
        <v/>
      </c>
      <c r="T22" s="68" t="str">
        <f>IF(AND('Riesgos gestion'!$Z$53="Alta",'Riesgos gestion'!$AB$53="Menor"),CONCATENATE("R7C",'Riesgos gestion'!$P$53),"")</f>
        <v/>
      </c>
      <c r="U22" s="69" t="str">
        <f>IF(AND('Riesgos gestion'!$Z$54="Alta",'Riesgos gestion'!$AB$54="Menor"),CONCATENATE("R7C",'Riesgos gestion'!$P$54),"")</f>
        <v/>
      </c>
      <c r="V22" s="52" t="str">
        <f>IF(AND('Riesgos gestion'!$Z$49="Alta",'Riesgos gestion'!$AB$49="Moderado"),CONCATENATE("R7C",'Riesgos gestion'!$P$49),"")</f>
        <v/>
      </c>
      <c r="W22" s="53" t="str">
        <f>IF(AND('Riesgos gestion'!$Z$50="Alta",'Riesgos gestion'!$AB$50="Moderado"),CONCATENATE("R7C",'Riesgos gestion'!$P$50),"")</f>
        <v/>
      </c>
      <c r="X22" s="53" t="str">
        <f>IF(AND('Riesgos gestion'!$Z$51="Alta",'Riesgos gestion'!$AB$51="Moderado"),CONCATENATE("R7C",'Riesgos gestion'!$P$51),"")</f>
        <v/>
      </c>
      <c r="Y22" s="53" t="str">
        <f>IF(AND('Riesgos gestion'!$Z$52="Alta",'Riesgos gestion'!$AB$52="Moderado"),CONCATENATE("R7C",'Riesgos gestion'!$P$52),"")</f>
        <v/>
      </c>
      <c r="Z22" s="53" t="str">
        <f>IF(AND('Riesgos gestion'!$Z$53="Alta",'Riesgos gestion'!$AB$53="Moderado"),CONCATENATE("R7C",'Riesgos gestion'!$P$53),"")</f>
        <v/>
      </c>
      <c r="AA22" s="54" t="str">
        <f>IF(AND('Riesgos gestion'!$Z$54="Alta",'Riesgos gestion'!$AB$54="Moderado"),CONCATENATE("R7C",'Riesgos gestion'!$P$54),"")</f>
        <v/>
      </c>
      <c r="AB22" s="52" t="str">
        <f>IF(AND('Riesgos gestion'!$Z$49="Alta",'Riesgos gestion'!$AB$49="Mayor"),CONCATENATE("R7C",'Riesgos gestion'!$P$49),"")</f>
        <v/>
      </c>
      <c r="AC22" s="53" t="str">
        <f>IF(AND('Riesgos gestion'!$Z$50="Alta",'Riesgos gestion'!$AB$50="Mayor"),CONCATENATE("R7C",'Riesgos gestion'!$P$50),"")</f>
        <v/>
      </c>
      <c r="AD22" s="53" t="str">
        <f>IF(AND('Riesgos gestion'!$Z$51="Alta",'Riesgos gestion'!$AB$51="Mayor"),CONCATENATE("R7C",'Riesgos gestion'!$P$51),"")</f>
        <v/>
      </c>
      <c r="AE22" s="53" t="str">
        <f>IF(AND('Riesgos gestion'!$Z$52="Alta",'Riesgos gestion'!$AB$52="Mayor"),CONCATENATE("R7C",'Riesgos gestion'!$P$52),"")</f>
        <v/>
      </c>
      <c r="AF22" s="53" t="str">
        <f>IF(AND('Riesgos gestion'!$Z$53="Alta",'Riesgos gestion'!$AB$53="Mayor"),CONCATENATE("R7C",'Riesgos gestion'!$P$53),"")</f>
        <v/>
      </c>
      <c r="AG22" s="54" t="str">
        <f>IF(AND('Riesgos gestion'!$Z$54="Alta",'Riesgos gestion'!$AB$54="Mayor"),CONCATENATE("R7C",'Riesgos gestion'!$P$54),"")</f>
        <v/>
      </c>
      <c r="AH22" s="55" t="str">
        <f>IF(AND('Riesgos gestion'!$Z$49="Alta",'Riesgos gestion'!$AB$49="Catastrófico"),CONCATENATE("R7C",'Riesgos gestion'!$P$49),"")</f>
        <v/>
      </c>
      <c r="AI22" s="56" t="str">
        <f>IF(AND('Riesgos gestion'!$Z$50="Alta",'Riesgos gestion'!$AB$50="Catastrófico"),CONCATENATE("R7C",'Riesgos gestion'!$P$50),"")</f>
        <v/>
      </c>
      <c r="AJ22" s="56" t="str">
        <f>IF(AND('Riesgos gestion'!$Z$51="Alta",'Riesgos gestion'!$AB$51="Catastrófico"),CONCATENATE("R7C",'Riesgos gestion'!$P$51),"")</f>
        <v/>
      </c>
      <c r="AK22" s="56" t="str">
        <f>IF(AND('Riesgos gestion'!$Z$52="Alta",'Riesgos gestion'!$AB$52="Catastrófico"),CONCATENATE("R7C",'Riesgos gestion'!$P$52),"")</f>
        <v/>
      </c>
      <c r="AL22" s="56" t="str">
        <f>IF(AND('Riesgos gestion'!$Z$53="Alta",'Riesgos gestion'!$AB$53="Catastrófico"),CONCATENATE("R7C",'Riesgos gestion'!$P$53),"")</f>
        <v/>
      </c>
      <c r="AM22" s="57" t="str">
        <f>IF(AND('Riesgos gestion'!$Z$54="Alta",'Riesgos gestion'!$AB$54="Catastrófico"),CONCATENATE("R7C",'Riesgos gestion'!$P$54),"")</f>
        <v/>
      </c>
      <c r="AN22" s="83"/>
      <c r="AO22" s="622"/>
      <c r="AP22" s="623"/>
      <c r="AQ22" s="623"/>
      <c r="AR22" s="623"/>
      <c r="AS22" s="623"/>
      <c r="AT22" s="624"/>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3">
      <c r="A23" s="83"/>
      <c r="B23" s="571"/>
      <c r="C23" s="571"/>
      <c r="D23" s="572"/>
      <c r="E23" s="612"/>
      <c r="F23" s="613"/>
      <c r="G23" s="613"/>
      <c r="H23" s="613"/>
      <c r="I23" s="613"/>
      <c r="J23" s="67" t="str">
        <f>IF(AND('Riesgos gestion'!$Z$55="Alta",'Riesgos gestion'!$AB$55="Leve"),CONCATENATE("R8C",'Riesgos gestion'!$P$55),"")</f>
        <v/>
      </c>
      <c r="K23" s="68" t="str">
        <f>IF(AND('Riesgos gestion'!$Z$56="Alta",'Riesgos gestion'!$AB$56="Leve"),CONCATENATE("R8C",'Riesgos gestion'!$P$56),"")</f>
        <v/>
      </c>
      <c r="L23" s="68" t="str">
        <f>IF(AND('Riesgos gestion'!$Z$57="Alta",'Riesgos gestion'!$AB$57="Leve"),CONCATENATE("R8C",'Riesgos gestion'!$P$57),"")</f>
        <v/>
      </c>
      <c r="M23" s="68" t="str">
        <f>IF(AND('Riesgos gestion'!$Z$58="Alta",'Riesgos gestion'!$AB$58="Leve"),CONCATENATE("R8C",'Riesgos gestion'!$P$58),"")</f>
        <v/>
      </c>
      <c r="N23" s="68" t="str">
        <f>IF(AND('Riesgos gestion'!$Z$59="Alta",'Riesgos gestion'!$AB$59="Leve"),CONCATENATE("R8C",'Riesgos gestion'!$P$59),"")</f>
        <v/>
      </c>
      <c r="O23" s="69" t="str">
        <f>IF(AND('Riesgos gestion'!$Z$60="Alta",'Riesgos gestion'!$AB$60="Leve"),CONCATENATE("R8C",'Riesgos gestion'!$P$60),"")</f>
        <v/>
      </c>
      <c r="P23" s="67" t="str">
        <f>IF(AND('Riesgos gestion'!$Z$55="Alta",'Riesgos gestion'!$AB$55="Menor"),CONCATENATE("R8C",'Riesgos gestion'!$P$55),"")</f>
        <v/>
      </c>
      <c r="Q23" s="68" t="str">
        <f>IF(AND('Riesgos gestion'!$Z$56="Alta",'Riesgos gestion'!$AB$56="Menor"),CONCATENATE("R8C",'Riesgos gestion'!$P$56),"")</f>
        <v/>
      </c>
      <c r="R23" s="68" t="str">
        <f>IF(AND('Riesgos gestion'!$Z$57="Alta",'Riesgos gestion'!$AB$57="Menor"),CONCATENATE("R8C",'Riesgos gestion'!$P$57),"")</f>
        <v/>
      </c>
      <c r="S23" s="68" t="str">
        <f>IF(AND('Riesgos gestion'!$Z$58="Alta",'Riesgos gestion'!$AB$58="Menor"),CONCATENATE("R8C",'Riesgos gestion'!$P$58),"")</f>
        <v/>
      </c>
      <c r="T23" s="68" t="str">
        <f>IF(AND('Riesgos gestion'!$Z$59="Alta",'Riesgos gestion'!$AB$59="Menor"),CONCATENATE("R8C",'Riesgos gestion'!$P$59),"")</f>
        <v/>
      </c>
      <c r="U23" s="69" t="str">
        <f>IF(AND('Riesgos gestion'!$Z$60="Alta",'Riesgos gestion'!$AB$60="Menor"),CONCATENATE("R8C",'Riesgos gestion'!$P$60),"")</f>
        <v/>
      </c>
      <c r="V23" s="52" t="str">
        <f>IF(AND('Riesgos gestion'!$Z$55="Alta",'Riesgos gestion'!$AB$55="Moderado"),CONCATENATE("R8C",'Riesgos gestion'!$P$55),"")</f>
        <v/>
      </c>
      <c r="W23" s="53" t="str">
        <f>IF(AND('Riesgos gestion'!$Z$56="Alta",'Riesgos gestion'!$AB$56="Moderado"),CONCATENATE("R8C",'Riesgos gestion'!$P$56),"")</f>
        <v/>
      </c>
      <c r="X23" s="53" t="str">
        <f>IF(AND('Riesgos gestion'!$Z$57="Alta",'Riesgos gestion'!$AB$57="Moderado"),CONCATENATE("R8C",'Riesgos gestion'!$P$57),"")</f>
        <v/>
      </c>
      <c r="Y23" s="53" t="str">
        <f>IF(AND('Riesgos gestion'!$Z$58="Alta",'Riesgos gestion'!$AB$58="Moderado"),CONCATENATE("R8C",'Riesgos gestion'!$P$58),"")</f>
        <v/>
      </c>
      <c r="Z23" s="53" t="str">
        <f>IF(AND('Riesgos gestion'!$Z$59="Alta",'Riesgos gestion'!$AB$59="Moderado"),CONCATENATE("R8C",'Riesgos gestion'!$P$59),"")</f>
        <v/>
      </c>
      <c r="AA23" s="54" t="str">
        <f>IF(AND('Riesgos gestion'!$Z$60="Alta",'Riesgos gestion'!$AB$60="Moderado"),CONCATENATE("R8C",'Riesgos gestion'!$P$60),"")</f>
        <v/>
      </c>
      <c r="AB23" s="52" t="str">
        <f>IF(AND('Riesgos gestion'!$Z$55="Alta",'Riesgos gestion'!$AB$55="Mayor"),CONCATENATE("R8C",'Riesgos gestion'!$P$55),"")</f>
        <v/>
      </c>
      <c r="AC23" s="53" t="str">
        <f>IF(AND('Riesgos gestion'!$Z$56="Alta",'Riesgos gestion'!$AB$56="Mayor"),CONCATENATE("R8C",'Riesgos gestion'!$P$56),"")</f>
        <v/>
      </c>
      <c r="AD23" s="53" t="str">
        <f>IF(AND('Riesgos gestion'!$Z$57="Alta",'Riesgos gestion'!$AB$57="Mayor"),CONCATENATE("R8C",'Riesgos gestion'!$P$57),"")</f>
        <v/>
      </c>
      <c r="AE23" s="53" t="str">
        <f>IF(AND('Riesgos gestion'!$Z$58="Alta",'Riesgos gestion'!$AB$58="Mayor"),CONCATENATE("R8C",'Riesgos gestion'!$P$58),"")</f>
        <v/>
      </c>
      <c r="AF23" s="53" t="str">
        <f>IF(AND('Riesgos gestion'!$Z$59="Alta",'Riesgos gestion'!$AB$59="Mayor"),CONCATENATE("R8C",'Riesgos gestion'!$P$59),"")</f>
        <v/>
      </c>
      <c r="AG23" s="54" t="str">
        <f>IF(AND('Riesgos gestion'!$Z$60="Alta",'Riesgos gestion'!$AB$60="Mayor"),CONCATENATE("R8C",'Riesgos gestion'!$P$60),"")</f>
        <v/>
      </c>
      <c r="AH23" s="55" t="str">
        <f>IF(AND('Riesgos gestion'!$Z$55="Alta",'Riesgos gestion'!$AB$55="Catastrófico"),CONCATENATE("R8C",'Riesgos gestion'!$P$55),"")</f>
        <v/>
      </c>
      <c r="AI23" s="56" t="str">
        <f>IF(AND('Riesgos gestion'!$Z$56="Alta",'Riesgos gestion'!$AB$56="Catastrófico"),CONCATENATE("R8C",'Riesgos gestion'!$P$56),"")</f>
        <v/>
      </c>
      <c r="AJ23" s="56" t="str">
        <f>IF(AND('Riesgos gestion'!$Z$57="Alta",'Riesgos gestion'!$AB$57="Catastrófico"),CONCATENATE("R8C",'Riesgos gestion'!$P$57),"")</f>
        <v/>
      </c>
      <c r="AK23" s="56" t="str">
        <f>IF(AND('Riesgos gestion'!$Z$58="Alta",'Riesgos gestion'!$AB$58="Catastrófico"),CONCATENATE("R8C",'Riesgos gestion'!$P$58),"")</f>
        <v/>
      </c>
      <c r="AL23" s="56" t="str">
        <f>IF(AND('Riesgos gestion'!$Z$59="Alta",'Riesgos gestion'!$AB$59="Catastrófico"),CONCATENATE("R8C",'Riesgos gestion'!$P$59),"")</f>
        <v/>
      </c>
      <c r="AM23" s="57" t="str">
        <f>IF(AND('Riesgos gestion'!$Z$60="Alta",'Riesgos gestion'!$AB$60="Catastrófico"),CONCATENATE("R8C",'Riesgos gestion'!$P$60),"")</f>
        <v/>
      </c>
      <c r="AN23" s="83"/>
      <c r="AO23" s="622"/>
      <c r="AP23" s="623"/>
      <c r="AQ23" s="623"/>
      <c r="AR23" s="623"/>
      <c r="AS23" s="623"/>
      <c r="AT23" s="62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3">
      <c r="A24" s="83"/>
      <c r="B24" s="571"/>
      <c r="C24" s="571"/>
      <c r="D24" s="572"/>
      <c r="E24" s="612"/>
      <c r="F24" s="613"/>
      <c r="G24" s="613"/>
      <c r="H24" s="613"/>
      <c r="I24" s="613"/>
      <c r="J24" s="67" t="str">
        <f>IF(AND('Riesgos gestion'!$Z$61="Alta",'Riesgos gestion'!$AB$61="Leve"),CONCATENATE("R9C",'Riesgos gestion'!$P$61),"")</f>
        <v/>
      </c>
      <c r="K24" s="68" t="str">
        <f>IF(AND('Riesgos gestion'!$Z$62="Alta",'Riesgos gestion'!$AB$62="Leve"),CONCATENATE("R9C",'Riesgos gestion'!$P$62),"")</f>
        <v/>
      </c>
      <c r="L24" s="68" t="str">
        <f>IF(AND('Riesgos gestion'!$Z$63="Alta",'Riesgos gestion'!$AB$63="Leve"),CONCATENATE("R9C",'Riesgos gestion'!$P$63),"")</f>
        <v/>
      </c>
      <c r="M24" s="68" t="str">
        <f>IF(AND('Riesgos gestion'!$Z$64="Alta",'Riesgos gestion'!$AB$64="Leve"),CONCATENATE("R9C",'Riesgos gestion'!$P$64),"")</f>
        <v/>
      </c>
      <c r="N24" s="68" t="str">
        <f>IF(AND('Riesgos gestion'!$Z$65="Alta",'Riesgos gestion'!$AB$65="Leve"),CONCATENATE("R9C",'Riesgos gestion'!$P$65),"")</f>
        <v/>
      </c>
      <c r="O24" s="69" t="str">
        <f>IF(AND('Riesgos gestion'!$Z$66="Alta",'Riesgos gestion'!$AB$66="Leve"),CONCATENATE("R9C",'Riesgos gestion'!$P$66),"")</f>
        <v/>
      </c>
      <c r="P24" s="67" t="str">
        <f>IF(AND('Riesgos gestion'!$Z$61="Alta",'Riesgos gestion'!$AB$61="Menor"),CONCATENATE("R9C",'Riesgos gestion'!$P$61),"")</f>
        <v/>
      </c>
      <c r="Q24" s="68" t="str">
        <f>IF(AND('Riesgos gestion'!$Z$62="Alta",'Riesgos gestion'!$AB$62="Menor"),CONCATENATE("R9C",'Riesgos gestion'!$P$62),"")</f>
        <v/>
      </c>
      <c r="R24" s="68" t="str">
        <f>IF(AND('Riesgos gestion'!$Z$63="Alta",'Riesgos gestion'!$AB$63="Menor"),CONCATENATE("R9C",'Riesgos gestion'!$P$63),"")</f>
        <v/>
      </c>
      <c r="S24" s="68" t="str">
        <f>IF(AND('Riesgos gestion'!$Z$64="Alta",'Riesgos gestion'!$AB$64="Menor"),CONCATENATE("R9C",'Riesgos gestion'!$P$64),"")</f>
        <v/>
      </c>
      <c r="T24" s="68" t="str">
        <f>IF(AND('Riesgos gestion'!$Z$65="Alta",'Riesgos gestion'!$AB$65="Menor"),CONCATENATE("R9C",'Riesgos gestion'!$P$65),"")</f>
        <v/>
      </c>
      <c r="U24" s="69" t="str">
        <f>IF(AND('Riesgos gestion'!$Z$66="Alta",'Riesgos gestion'!$AB$66="Menor"),CONCATENATE("R9C",'Riesgos gestion'!$P$66),"")</f>
        <v/>
      </c>
      <c r="V24" s="52" t="str">
        <f>IF(AND('Riesgos gestion'!$Z$61="Alta",'Riesgos gestion'!$AB$61="Moderado"),CONCATENATE("R9C",'Riesgos gestion'!$P$61),"")</f>
        <v/>
      </c>
      <c r="W24" s="53" t="str">
        <f>IF(AND('Riesgos gestion'!$Z$62="Alta",'Riesgos gestion'!$AB$62="Moderado"),CONCATENATE("R9C",'Riesgos gestion'!$P$62),"")</f>
        <v/>
      </c>
      <c r="X24" s="53" t="str">
        <f>IF(AND('Riesgos gestion'!$Z$63="Alta",'Riesgos gestion'!$AB$63="Moderado"),CONCATENATE("R9C",'Riesgos gestion'!$P$63),"")</f>
        <v/>
      </c>
      <c r="Y24" s="53" t="str">
        <f>IF(AND('Riesgos gestion'!$Z$64="Alta",'Riesgos gestion'!$AB$64="Moderado"),CONCATENATE("R9C",'Riesgos gestion'!$P$64),"")</f>
        <v/>
      </c>
      <c r="Z24" s="53" t="str">
        <f>IF(AND('Riesgos gestion'!$Z$65="Alta",'Riesgos gestion'!$AB$65="Moderado"),CONCATENATE("R9C",'Riesgos gestion'!$P$65),"")</f>
        <v/>
      </c>
      <c r="AA24" s="54" t="str">
        <f>IF(AND('Riesgos gestion'!$Z$66="Alta",'Riesgos gestion'!$AB$66="Moderado"),CONCATENATE("R9C",'Riesgos gestion'!$P$66),"")</f>
        <v/>
      </c>
      <c r="AB24" s="52" t="str">
        <f>IF(AND('Riesgos gestion'!$Z$61="Alta",'Riesgos gestion'!$AB$61="Mayor"),CONCATENATE("R9C",'Riesgos gestion'!$P$61),"")</f>
        <v/>
      </c>
      <c r="AC24" s="53" t="str">
        <f>IF(AND('Riesgos gestion'!$Z$62="Alta",'Riesgos gestion'!$AB$62="Mayor"),CONCATENATE("R9C",'Riesgos gestion'!$P$62),"")</f>
        <v/>
      </c>
      <c r="AD24" s="53" t="str">
        <f>IF(AND('Riesgos gestion'!$Z$63="Alta",'Riesgos gestion'!$AB$63="Mayor"),CONCATENATE("R9C",'Riesgos gestion'!$P$63),"")</f>
        <v/>
      </c>
      <c r="AE24" s="53" t="str">
        <f>IF(AND('Riesgos gestion'!$Z$64="Alta",'Riesgos gestion'!$AB$64="Mayor"),CONCATENATE("R9C",'Riesgos gestion'!$P$64),"")</f>
        <v/>
      </c>
      <c r="AF24" s="53" t="str">
        <f>IF(AND('Riesgos gestion'!$Z$65="Alta",'Riesgos gestion'!$AB$65="Mayor"),CONCATENATE("R9C",'Riesgos gestion'!$P$65),"")</f>
        <v/>
      </c>
      <c r="AG24" s="54" t="str">
        <f>IF(AND('Riesgos gestion'!$Z$66="Alta",'Riesgos gestion'!$AB$66="Mayor"),CONCATENATE("R9C",'Riesgos gestion'!$P$66),"")</f>
        <v/>
      </c>
      <c r="AH24" s="55" t="str">
        <f>IF(AND('Riesgos gestion'!$Z$61="Alta",'Riesgos gestion'!$AB$61="Catastrófico"),CONCATENATE("R9C",'Riesgos gestion'!$P$61),"")</f>
        <v/>
      </c>
      <c r="AI24" s="56" t="str">
        <f>IF(AND('Riesgos gestion'!$Z$62="Alta",'Riesgos gestion'!$AB$62="Catastrófico"),CONCATENATE("R9C",'Riesgos gestion'!$P$62),"")</f>
        <v/>
      </c>
      <c r="AJ24" s="56" t="str">
        <f>IF(AND('Riesgos gestion'!$Z$63="Alta",'Riesgos gestion'!$AB$63="Catastrófico"),CONCATENATE("R9C",'Riesgos gestion'!$P$63),"")</f>
        <v/>
      </c>
      <c r="AK24" s="56" t="str">
        <f>IF(AND('Riesgos gestion'!$Z$64="Alta",'Riesgos gestion'!$AB$64="Catastrófico"),CONCATENATE("R9C",'Riesgos gestion'!$P$64),"")</f>
        <v/>
      </c>
      <c r="AL24" s="56" t="str">
        <f>IF(AND('Riesgos gestion'!$Z$65="Alta",'Riesgos gestion'!$AB$65="Catastrófico"),CONCATENATE("R9C",'Riesgos gestion'!$P$65),"")</f>
        <v/>
      </c>
      <c r="AM24" s="57" t="str">
        <f>IF(AND('Riesgos gestion'!$Z$66="Alta",'Riesgos gestion'!$AB$66="Catastrófico"),CONCATENATE("R9C",'Riesgos gestion'!$P$66),"")</f>
        <v/>
      </c>
      <c r="AN24" s="83"/>
      <c r="AO24" s="622"/>
      <c r="AP24" s="623"/>
      <c r="AQ24" s="623"/>
      <c r="AR24" s="623"/>
      <c r="AS24" s="623"/>
      <c r="AT24" s="62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5">
      <c r="A25" s="83"/>
      <c r="B25" s="571"/>
      <c r="C25" s="571"/>
      <c r="D25" s="572"/>
      <c r="E25" s="615"/>
      <c r="F25" s="616"/>
      <c r="G25" s="616"/>
      <c r="H25" s="616"/>
      <c r="I25" s="616"/>
      <c r="J25" s="70" t="str">
        <f>IF(AND('Riesgos gestion'!$Z$67="Alta",'Riesgos gestion'!$AB$67="Leve"),CONCATENATE("R10C",'Riesgos gestion'!$P$67),"")</f>
        <v/>
      </c>
      <c r="K25" s="71" t="str">
        <f>IF(AND('Riesgos gestion'!$Z$68="Alta",'Riesgos gestion'!$AB$68="Leve"),CONCATENATE("R10C",'Riesgos gestion'!$P$68),"")</f>
        <v/>
      </c>
      <c r="L25" s="71" t="str">
        <f>IF(AND('Riesgos gestion'!$Z$69="Alta",'Riesgos gestion'!$AB$69="Leve"),CONCATENATE("R10C",'Riesgos gestion'!$P$69),"")</f>
        <v/>
      </c>
      <c r="M25" s="71" t="str">
        <f>IF(AND('Riesgos gestion'!$Z$70="Alta",'Riesgos gestion'!$AB$70="Leve"),CONCATENATE("R10C",'Riesgos gestion'!$P$70),"")</f>
        <v/>
      </c>
      <c r="N25" s="71" t="str">
        <f>IF(AND('Riesgos gestion'!$Z$71="Alta",'Riesgos gestion'!$AB$71="Leve"),CONCATENATE("R10C",'Riesgos gestion'!$P$71),"")</f>
        <v/>
      </c>
      <c r="O25" s="72" t="str">
        <f>IF(AND('Riesgos gestion'!$Z$72="Alta",'Riesgos gestion'!$AB$72="Leve"),CONCATENATE("R10C",'Riesgos gestion'!$P$72),"")</f>
        <v/>
      </c>
      <c r="P25" s="70" t="str">
        <f>IF(AND('Riesgos gestion'!$Z$67="Alta",'Riesgos gestion'!$AB$67="Menor"),CONCATENATE("R10C",'Riesgos gestion'!$P$67),"")</f>
        <v/>
      </c>
      <c r="Q25" s="71" t="str">
        <f>IF(AND('Riesgos gestion'!$Z$68="Alta",'Riesgos gestion'!$AB$68="Menor"),CONCATENATE("R10C",'Riesgos gestion'!$P$68),"")</f>
        <v/>
      </c>
      <c r="R25" s="71" t="str">
        <f>IF(AND('Riesgos gestion'!$Z$69="Alta",'Riesgos gestion'!$AB$69="Menor"),CONCATENATE("R10C",'Riesgos gestion'!$P$69),"")</f>
        <v/>
      </c>
      <c r="S25" s="71" t="str">
        <f>IF(AND('Riesgos gestion'!$Z$70="Alta",'Riesgos gestion'!$AB$70="Menor"),CONCATENATE("R10C",'Riesgos gestion'!$P$70),"")</f>
        <v/>
      </c>
      <c r="T25" s="71" t="str">
        <f>IF(AND('Riesgos gestion'!$Z$71="Alta",'Riesgos gestion'!$AB$71="Menor"),CONCATENATE("R10C",'Riesgos gestion'!$P$71),"")</f>
        <v/>
      </c>
      <c r="U25" s="72" t="str">
        <f>IF(AND('Riesgos gestion'!$Z$72="Alta",'Riesgos gestion'!$AB$72="Menor"),CONCATENATE("R10C",'Riesgos gestion'!$P$72),"")</f>
        <v/>
      </c>
      <c r="V25" s="58" t="str">
        <f>IF(AND('Riesgos gestion'!$Z$67="Alta",'Riesgos gestion'!$AB$67="Moderado"),CONCATENATE("R10C",'Riesgos gestion'!$P$67),"")</f>
        <v/>
      </c>
      <c r="W25" s="59" t="str">
        <f>IF(AND('Riesgos gestion'!$Z$68="Alta",'Riesgos gestion'!$AB$68="Moderado"),CONCATENATE("R10C",'Riesgos gestion'!$P$68),"")</f>
        <v/>
      </c>
      <c r="X25" s="59" t="str">
        <f>IF(AND('Riesgos gestion'!$Z$69="Alta",'Riesgos gestion'!$AB$69="Moderado"),CONCATENATE("R10C",'Riesgos gestion'!$P$69),"")</f>
        <v/>
      </c>
      <c r="Y25" s="59" t="str">
        <f>IF(AND('Riesgos gestion'!$Z$70="Alta",'Riesgos gestion'!$AB$70="Moderado"),CONCATENATE("R10C",'Riesgos gestion'!$P$70),"")</f>
        <v/>
      </c>
      <c r="Z25" s="59" t="str">
        <f>IF(AND('Riesgos gestion'!$Z$71="Alta",'Riesgos gestion'!$AB$71="Moderado"),CONCATENATE("R10C",'Riesgos gestion'!$P$71),"")</f>
        <v/>
      </c>
      <c r="AA25" s="60" t="str">
        <f>IF(AND('Riesgos gestion'!$Z$72="Alta",'Riesgos gestion'!$AB$72="Moderado"),CONCATENATE("R10C",'Riesgos gestion'!$P$72),"")</f>
        <v/>
      </c>
      <c r="AB25" s="58" t="str">
        <f>IF(AND('Riesgos gestion'!$Z$67="Alta",'Riesgos gestion'!$AB$67="Mayor"),CONCATENATE("R10C",'Riesgos gestion'!$P$67),"")</f>
        <v/>
      </c>
      <c r="AC25" s="59" t="str">
        <f>IF(AND('Riesgos gestion'!$Z$68="Alta",'Riesgos gestion'!$AB$68="Mayor"),CONCATENATE("R10C",'Riesgos gestion'!$P$68),"")</f>
        <v/>
      </c>
      <c r="AD25" s="59" t="str">
        <f>IF(AND('Riesgos gestion'!$Z$69="Alta",'Riesgos gestion'!$AB$69="Mayor"),CONCATENATE("R10C",'Riesgos gestion'!$P$69),"")</f>
        <v/>
      </c>
      <c r="AE25" s="59" t="str">
        <f>IF(AND('Riesgos gestion'!$Z$70="Alta",'Riesgos gestion'!$AB$70="Mayor"),CONCATENATE("R10C",'Riesgos gestion'!$P$70),"")</f>
        <v/>
      </c>
      <c r="AF25" s="59" t="str">
        <f>IF(AND('Riesgos gestion'!$Z$71="Alta",'Riesgos gestion'!$AB$71="Mayor"),CONCATENATE("R10C",'Riesgos gestion'!$P$71),"")</f>
        <v/>
      </c>
      <c r="AG25" s="60" t="str">
        <f>IF(AND('Riesgos gestion'!$Z$72="Alta",'Riesgos gestion'!$AB$72="Mayor"),CONCATENATE("R10C",'Riesgos gestion'!$P$72),"")</f>
        <v/>
      </c>
      <c r="AH25" s="61" t="str">
        <f>IF(AND('Riesgos gestion'!$Z$67="Alta",'Riesgos gestion'!$AB$67="Catastrófico"),CONCATENATE("R10C",'Riesgos gestion'!$P$67),"")</f>
        <v/>
      </c>
      <c r="AI25" s="62" t="str">
        <f>IF(AND('Riesgos gestion'!$Z$68="Alta",'Riesgos gestion'!$AB$68="Catastrófico"),CONCATENATE("R10C",'Riesgos gestion'!$P$68),"")</f>
        <v/>
      </c>
      <c r="AJ25" s="62" t="str">
        <f>IF(AND('Riesgos gestion'!$Z$69="Alta",'Riesgos gestion'!$AB$69="Catastrófico"),CONCATENATE("R10C",'Riesgos gestion'!$P$69),"")</f>
        <v/>
      </c>
      <c r="AK25" s="62" t="str">
        <f>IF(AND('Riesgos gestion'!$Z$70="Alta",'Riesgos gestion'!$AB$70="Catastrófico"),CONCATENATE("R10C",'Riesgos gestion'!$P$70),"")</f>
        <v/>
      </c>
      <c r="AL25" s="62" t="str">
        <f>IF(AND('Riesgos gestion'!$Z$71="Alta",'Riesgos gestion'!$AB$71="Catastrófico"),CONCATENATE("R10C",'Riesgos gestion'!$P$71),"")</f>
        <v/>
      </c>
      <c r="AM25" s="63" t="str">
        <f>IF(AND('Riesgos gestion'!$Z$72="Alta",'Riesgos gestion'!$AB$72="Catastrófico"),CONCATENATE("R10C",'Riesgos gestion'!$P$72),"")</f>
        <v/>
      </c>
      <c r="AN25" s="83"/>
      <c r="AO25" s="625"/>
      <c r="AP25" s="626"/>
      <c r="AQ25" s="626"/>
      <c r="AR25" s="626"/>
      <c r="AS25" s="626"/>
      <c r="AT25" s="627"/>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3">
      <c r="A26" s="83"/>
      <c r="B26" s="571"/>
      <c r="C26" s="571"/>
      <c r="D26" s="572"/>
      <c r="E26" s="609" t="s">
        <v>320</v>
      </c>
      <c r="F26" s="610"/>
      <c r="G26" s="610"/>
      <c r="H26" s="610"/>
      <c r="I26" s="611"/>
      <c r="J26" s="64" t="str">
        <f>IF(AND('Riesgos gestion'!$Z$13="Media",'Riesgos gestion'!$AB$13="Leve"),CONCATENATE("R1C",'Riesgos gestion'!$P$13),"")</f>
        <v/>
      </c>
      <c r="K26" s="65" t="str">
        <f>IF(AND('Riesgos gestion'!$Z$14="Media",'Riesgos gestion'!$AB$14="Leve"),CONCATENATE("R1C",'Riesgos gestion'!$P$14),"")</f>
        <v/>
      </c>
      <c r="L26" s="65" t="str">
        <f>IF(AND('Riesgos gestion'!$Z$15="Media",'Riesgos gestion'!$AB$15="Leve"),CONCATENATE("R1C",'Riesgos gestion'!$P$15),"")</f>
        <v/>
      </c>
      <c r="M26" s="65" t="str">
        <f>IF(AND('Riesgos gestion'!$Z$16="Media",'Riesgos gestion'!$AB$16="Leve"),CONCATENATE("R1C",'Riesgos gestion'!$P$16),"")</f>
        <v/>
      </c>
      <c r="N26" s="65" t="str">
        <f>IF(AND('Riesgos gestion'!$Z$17="Media",'Riesgos gestion'!$AB$17="Leve"),CONCATENATE("R1C",'Riesgos gestion'!$P$17),"")</f>
        <v/>
      </c>
      <c r="O26" s="66" t="e">
        <f>IF(AND('Riesgos gestion'!#REF!="Media",'Riesgos gestion'!#REF!="Leve"),CONCATENATE("R1C",'Riesgos gestion'!#REF!),"")</f>
        <v>#REF!</v>
      </c>
      <c r="P26" s="64" t="str">
        <f>IF(AND('Riesgos gestion'!$Z$13="Media",'Riesgos gestion'!$AB$13="Menor"),CONCATENATE("R1C",'Riesgos gestion'!$P$13),"")</f>
        <v/>
      </c>
      <c r="Q26" s="65" t="str">
        <f>IF(AND('Riesgos gestion'!$Z$14="Media",'Riesgos gestion'!$AB$14="Menor"),CONCATENATE("R1C",'Riesgos gestion'!$P$14),"")</f>
        <v/>
      </c>
      <c r="R26" s="65" t="str">
        <f>IF(AND('Riesgos gestion'!$Z$15="Media",'Riesgos gestion'!$AB$15="Menor"),CONCATENATE("R1C",'Riesgos gestion'!$P$15),"")</f>
        <v/>
      </c>
      <c r="S26" s="65" t="str">
        <f>IF(AND('Riesgos gestion'!$Z$16="Media",'Riesgos gestion'!$AB$16="Menor"),CONCATENATE("R1C",'Riesgos gestion'!$P$16),"")</f>
        <v/>
      </c>
      <c r="T26" s="65" t="str">
        <f>IF(AND('Riesgos gestion'!$Z$17="Media",'Riesgos gestion'!$AB$17="Menor"),CONCATENATE("R1C",'Riesgos gestion'!$P$17),"")</f>
        <v/>
      </c>
      <c r="U26" s="66" t="e">
        <f>IF(AND('Riesgos gestion'!#REF!="Media",'Riesgos gestion'!#REF!="Menor"),CONCATENATE("R1C",'Riesgos gestion'!#REF!),"")</f>
        <v>#REF!</v>
      </c>
      <c r="V26" s="64" t="str">
        <f>IF(AND('Riesgos gestion'!$Z$13="Media",'Riesgos gestion'!$AB$13="Moderado"),CONCATENATE("R1C",'Riesgos gestion'!$P$13),"")</f>
        <v/>
      </c>
      <c r="W26" s="65" t="str">
        <f>IF(AND('Riesgos gestion'!$Z$14="Media",'Riesgos gestion'!$AB$14="Moderado"),CONCATENATE("R1C",'Riesgos gestion'!$P$14),"")</f>
        <v/>
      </c>
      <c r="X26" s="65" t="str">
        <f>IF(AND('Riesgos gestion'!$Z$15="Media",'Riesgos gestion'!$AB$15="Moderado"),CONCATENATE("R1C",'Riesgos gestion'!$P$15),"")</f>
        <v/>
      </c>
      <c r="Y26" s="65" t="str">
        <f>IF(AND('Riesgos gestion'!$Z$16="Media",'Riesgos gestion'!$AB$16="Moderado"),CONCATENATE("R1C",'Riesgos gestion'!$P$16),"")</f>
        <v/>
      </c>
      <c r="Z26" s="65" t="str">
        <f>IF(AND('Riesgos gestion'!$Z$17="Media",'Riesgos gestion'!$AB$17="Moderado"),CONCATENATE("R1C",'Riesgos gestion'!$P$17),"")</f>
        <v/>
      </c>
      <c r="AA26" s="66" t="e">
        <f>IF(AND('Riesgos gestion'!#REF!="Media",'Riesgos gestion'!#REF!="Moderado"),CONCATENATE("R1C",'Riesgos gestion'!#REF!),"")</f>
        <v>#REF!</v>
      </c>
      <c r="AB26" s="46" t="str">
        <f>IF(AND('Riesgos gestion'!$Z$13="Media",'Riesgos gestion'!$AB$13="Mayor"),CONCATENATE("R1C",'Riesgos gestion'!$P$13),"")</f>
        <v/>
      </c>
      <c r="AC26" s="47" t="str">
        <f>IF(AND('Riesgos gestion'!$Z$14="Media",'Riesgos gestion'!$AB$14="Mayor"),CONCATENATE("R1C",'Riesgos gestion'!$P$14),"")</f>
        <v/>
      </c>
      <c r="AD26" s="47" t="str">
        <f>IF(AND('Riesgos gestion'!$Z$15="Media",'Riesgos gestion'!$AB$15="Mayor"),CONCATENATE("R1C",'Riesgos gestion'!$P$15),"")</f>
        <v/>
      </c>
      <c r="AE26" s="47" t="str">
        <f>IF(AND('Riesgos gestion'!$Z$16="Media",'Riesgos gestion'!$AB$16="Mayor"),CONCATENATE("R1C",'Riesgos gestion'!$P$16),"")</f>
        <v/>
      </c>
      <c r="AF26" s="47" t="str">
        <f>IF(AND('Riesgos gestion'!$Z$17="Media",'Riesgos gestion'!$AB$17="Mayor"),CONCATENATE("R1C",'Riesgos gestion'!$P$17),"")</f>
        <v/>
      </c>
      <c r="AG26" s="48" t="e">
        <f>IF(AND('Riesgos gestion'!#REF!="Media",'Riesgos gestion'!#REF!="Mayor"),CONCATENATE("R1C",'Riesgos gestion'!#REF!),"")</f>
        <v>#REF!</v>
      </c>
      <c r="AH26" s="49" t="str">
        <f>IF(AND('Riesgos gestion'!$Z$13="Media",'Riesgos gestion'!$AB$13="Catastrófico"),CONCATENATE("R1C",'Riesgos gestion'!$P$13),"")</f>
        <v/>
      </c>
      <c r="AI26" s="50" t="str">
        <f>IF(AND('Riesgos gestion'!$Z$14="Media",'Riesgos gestion'!$AB$14="Catastrófico"),CONCATENATE("R1C",'Riesgos gestion'!$P$14),"")</f>
        <v/>
      </c>
      <c r="AJ26" s="50" t="str">
        <f>IF(AND('Riesgos gestion'!$Z$15="Media",'Riesgos gestion'!$AB$15="Catastrófico"),CONCATENATE("R1C",'Riesgos gestion'!$P$15),"")</f>
        <v/>
      </c>
      <c r="AK26" s="50" t="str">
        <f>IF(AND('Riesgos gestion'!$Z$16="Media",'Riesgos gestion'!$AB$16="Catastrófico"),CONCATENATE("R1C",'Riesgos gestion'!$P$16),"")</f>
        <v/>
      </c>
      <c r="AL26" s="50" t="str">
        <f>IF(AND('Riesgos gestion'!$Z$17="Media",'Riesgos gestion'!$AB$17="Catastrófico"),CONCATENATE("R1C",'Riesgos gestion'!$P$17),"")</f>
        <v/>
      </c>
      <c r="AM26" s="51" t="e">
        <f>IF(AND('Riesgos gestion'!#REF!="Media",'Riesgos gestion'!#REF!="Catastrófico"),CONCATENATE("R1C",'Riesgos gestion'!#REF!),"")</f>
        <v>#REF!</v>
      </c>
      <c r="AN26" s="83"/>
      <c r="AO26" s="649" t="s">
        <v>321</v>
      </c>
      <c r="AP26" s="650"/>
      <c r="AQ26" s="650"/>
      <c r="AR26" s="650"/>
      <c r="AS26" s="650"/>
      <c r="AT26" s="65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3">
      <c r="A27" s="83"/>
      <c r="B27" s="571"/>
      <c r="C27" s="571"/>
      <c r="D27" s="572"/>
      <c r="E27" s="628"/>
      <c r="F27" s="613"/>
      <c r="G27" s="613"/>
      <c r="H27" s="613"/>
      <c r="I27" s="614"/>
      <c r="J27" s="67" t="str">
        <f>IF(AND('Riesgos gestion'!$Z$19="Media",'Riesgos gestion'!$AB$19="Leve"),CONCATENATE("R2C",'Riesgos gestion'!$P$19),"")</f>
        <v/>
      </c>
      <c r="K27" s="68" t="str">
        <f>IF(AND('Riesgos gestion'!$Z$20="Media",'Riesgos gestion'!$AB$20="Leve"),CONCATENATE("R2C",'Riesgos gestion'!$P$20),"")</f>
        <v/>
      </c>
      <c r="L27" s="68" t="str">
        <f>IF(AND('Riesgos gestion'!$Z$21="Media",'Riesgos gestion'!$AB$21="Leve"),CONCATENATE("R2C",'Riesgos gestion'!$P$21),"")</f>
        <v/>
      </c>
      <c r="M27" s="68" t="str">
        <f>IF(AND('Riesgos gestion'!$Z$22="Media",'Riesgos gestion'!$AB$22="Leve"),CONCATENATE("R2C",'Riesgos gestion'!$P$22),"")</f>
        <v/>
      </c>
      <c r="N27" s="68" t="str">
        <f>IF(AND('Riesgos gestion'!$Z$23="Media",'Riesgos gestion'!$AB$23="Leve"),CONCATENATE("R2C",'Riesgos gestion'!$P$23),"")</f>
        <v/>
      </c>
      <c r="O27" s="69" t="str">
        <f>IF(AND('Riesgos gestion'!$Z$24="Media",'Riesgos gestion'!$AB$24="Leve"),CONCATENATE("R2C",'Riesgos gestion'!$P$24),"")</f>
        <v/>
      </c>
      <c r="P27" s="67" t="str">
        <f>IF(AND('Riesgos gestion'!$Z$19="Media",'Riesgos gestion'!$AB$19="Menor"),CONCATENATE("R2C",'Riesgos gestion'!$P$19),"")</f>
        <v/>
      </c>
      <c r="Q27" s="68" t="str">
        <f>IF(AND('Riesgos gestion'!$Z$20="Media",'Riesgos gestion'!$AB$20="Menor"),CONCATENATE("R2C",'Riesgos gestion'!$P$20),"")</f>
        <v/>
      </c>
      <c r="R27" s="68" t="str">
        <f>IF(AND('Riesgos gestion'!$Z$21="Media",'Riesgos gestion'!$AB$21="Menor"),CONCATENATE("R2C",'Riesgos gestion'!$P$21),"")</f>
        <v/>
      </c>
      <c r="S27" s="68" t="str">
        <f>IF(AND('Riesgos gestion'!$Z$22="Media",'Riesgos gestion'!$AB$22="Menor"),CONCATENATE("R2C",'Riesgos gestion'!$P$22),"")</f>
        <v/>
      </c>
      <c r="T27" s="68" t="str">
        <f>IF(AND('Riesgos gestion'!$Z$23="Media",'Riesgos gestion'!$AB$23="Menor"),CONCATENATE("R2C",'Riesgos gestion'!$P$23),"")</f>
        <v/>
      </c>
      <c r="U27" s="69" t="str">
        <f>IF(AND('Riesgos gestion'!$Z$24="Media",'Riesgos gestion'!$AB$24="Menor"),CONCATENATE("R2C",'Riesgos gestion'!$P$24),"")</f>
        <v/>
      </c>
      <c r="V27" s="67" t="str">
        <f>IF(AND('Riesgos gestion'!$Z$19="Media",'Riesgos gestion'!$AB$19="Moderado"),CONCATENATE("R2C",'Riesgos gestion'!$P$19),"")</f>
        <v/>
      </c>
      <c r="W27" s="68" t="str">
        <f>IF(AND('Riesgos gestion'!$Z$20="Media",'Riesgos gestion'!$AB$20="Moderado"),CONCATENATE("R2C",'Riesgos gestion'!$P$20),"")</f>
        <v/>
      </c>
      <c r="X27" s="68" t="str">
        <f>IF(AND('Riesgos gestion'!$Z$21="Media",'Riesgos gestion'!$AB$21="Moderado"),CONCATENATE("R2C",'Riesgos gestion'!$P$21),"")</f>
        <v/>
      </c>
      <c r="Y27" s="68" t="str">
        <f>IF(AND('Riesgos gestion'!$Z$22="Media",'Riesgos gestion'!$AB$22="Moderado"),CONCATENATE("R2C",'Riesgos gestion'!$P$22),"")</f>
        <v/>
      </c>
      <c r="Z27" s="68" t="str">
        <f>IF(AND('Riesgos gestion'!$Z$23="Media",'Riesgos gestion'!$AB$23="Moderado"),CONCATENATE("R2C",'Riesgos gestion'!$P$23),"")</f>
        <v/>
      </c>
      <c r="AA27" s="69" t="str">
        <f>IF(AND('Riesgos gestion'!$Z$24="Media",'Riesgos gestion'!$AB$24="Moderado"),CONCATENATE("R2C",'Riesgos gestion'!$P$24),"")</f>
        <v/>
      </c>
      <c r="AB27" s="52" t="str">
        <f>IF(AND('Riesgos gestion'!$Z$19="Media",'Riesgos gestion'!$AB$19="Mayor"),CONCATENATE("R2C",'Riesgos gestion'!$P$19),"")</f>
        <v/>
      </c>
      <c r="AC27" s="53" t="str">
        <f>IF(AND('Riesgos gestion'!$Z$20="Media",'Riesgos gestion'!$AB$20="Mayor"),CONCATENATE("R2C",'Riesgos gestion'!$P$20),"")</f>
        <v/>
      </c>
      <c r="AD27" s="53" t="str">
        <f>IF(AND('Riesgos gestion'!$Z$21="Media",'Riesgos gestion'!$AB$21="Mayor"),CONCATENATE("R2C",'Riesgos gestion'!$P$21),"")</f>
        <v/>
      </c>
      <c r="AE27" s="53" t="str">
        <f>IF(AND('Riesgos gestion'!$Z$22="Media",'Riesgos gestion'!$AB$22="Mayor"),CONCATENATE("R2C",'Riesgos gestion'!$P$22),"")</f>
        <v/>
      </c>
      <c r="AF27" s="53" t="str">
        <f>IF(AND('Riesgos gestion'!$Z$23="Media",'Riesgos gestion'!$AB$23="Mayor"),CONCATENATE("R2C",'Riesgos gestion'!$P$23),"")</f>
        <v/>
      </c>
      <c r="AG27" s="54" t="str">
        <f>IF(AND('Riesgos gestion'!$Z$24="Media",'Riesgos gestion'!$AB$24="Mayor"),CONCATENATE("R2C",'Riesgos gestion'!$P$24),"")</f>
        <v/>
      </c>
      <c r="AH27" s="55" t="str">
        <f>IF(AND('Riesgos gestion'!$Z$19="Media",'Riesgos gestion'!$AB$19="Catastrófico"),CONCATENATE("R2C",'Riesgos gestion'!$P$19),"")</f>
        <v/>
      </c>
      <c r="AI27" s="56" t="str">
        <f>IF(AND('Riesgos gestion'!$Z$20="Media",'Riesgos gestion'!$AB$20="Catastrófico"),CONCATENATE("R2C",'Riesgos gestion'!$P$20),"")</f>
        <v/>
      </c>
      <c r="AJ27" s="56" t="str">
        <f>IF(AND('Riesgos gestion'!$Z$21="Media",'Riesgos gestion'!$AB$21="Catastrófico"),CONCATENATE("R2C",'Riesgos gestion'!$P$21),"")</f>
        <v/>
      </c>
      <c r="AK27" s="56" t="str">
        <f>IF(AND('Riesgos gestion'!$Z$22="Media",'Riesgos gestion'!$AB$22="Catastrófico"),CONCATENATE("R2C",'Riesgos gestion'!$P$22),"")</f>
        <v/>
      </c>
      <c r="AL27" s="56" t="str">
        <f>IF(AND('Riesgos gestion'!$Z$23="Media",'Riesgos gestion'!$AB$23="Catastrófico"),CONCATENATE("R2C",'Riesgos gestion'!$P$23),"")</f>
        <v/>
      </c>
      <c r="AM27" s="57" t="str">
        <f>IF(AND('Riesgos gestion'!$Z$24="Media",'Riesgos gestion'!$AB$24="Catastrófico"),CONCATENATE("R2C",'Riesgos gestion'!$P$24),"")</f>
        <v/>
      </c>
      <c r="AN27" s="83"/>
      <c r="AO27" s="652"/>
      <c r="AP27" s="653"/>
      <c r="AQ27" s="653"/>
      <c r="AR27" s="653"/>
      <c r="AS27" s="653"/>
      <c r="AT27" s="65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3">
      <c r="A28" s="83"/>
      <c r="B28" s="571"/>
      <c r="C28" s="571"/>
      <c r="D28" s="572"/>
      <c r="E28" s="612"/>
      <c r="F28" s="613"/>
      <c r="G28" s="613"/>
      <c r="H28" s="613"/>
      <c r="I28" s="614"/>
      <c r="J28" s="67" t="str">
        <f>IF(AND('Riesgos gestion'!$Z$25="Media",'Riesgos gestion'!$AB$25="Leve"),CONCATENATE("R3C",'Riesgos gestion'!$P$25),"")</f>
        <v/>
      </c>
      <c r="K28" s="68" t="str">
        <f>IF(AND('Riesgos gestion'!$Z$26="Media",'Riesgos gestion'!$AB$26="Leve"),CONCATENATE("R3C",'Riesgos gestion'!$P$26),"")</f>
        <v/>
      </c>
      <c r="L28" s="68" t="str">
        <f>IF(AND('Riesgos gestion'!$Z$27="Media",'Riesgos gestion'!$AB$27="Leve"),CONCATENATE("R3C",'Riesgos gestion'!$P$27),"")</f>
        <v/>
      </c>
      <c r="M28" s="68" t="str">
        <f>IF(AND('Riesgos gestion'!$Z$28="Media",'Riesgos gestion'!$AB$28="Leve"),CONCATENATE("R3C",'Riesgos gestion'!$P$28),"")</f>
        <v/>
      </c>
      <c r="N28" s="68" t="str">
        <f>IF(AND('Riesgos gestion'!$Z$29="Media",'Riesgos gestion'!$AB$29="Leve"),CONCATENATE("R3C",'Riesgos gestion'!$P$29),"")</f>
        <v/>
      </c>
      <c r="O28" s="69" t="str">
        <f>IF(AND('Riesgos gestion'!$Z$30="Media",'Riesgos gestion'!$AB$30="Leve"),CONCATENATE("R3C",'Riesgos gestion'!$P$30),"")</f>
        <v/>
      </c>
      <c r="P28" s="67" t="str">
        <f>IF(AND('Riesgos gestion'!$Z$25="Media",'Riesgos gestion'!$AB$25="Menor"),CONCATENATE("R3C",'Riesgos gestion'!$P$25),"")</f>
        <v/>
      </c>
      <c r="Q28" s="68" t="str">
        <f>IF(AND('Riesgos gestion'!$Z$26="Media",'Riesgos gestion'!$AB$26="Menor"),CONCATENATE("R3C",'Riesgos gestion'!$P$26),"")</f>
        <v/>
      </c>
      <c r="R28" s="68" t="str">
        <f>IF(AND('Riesgos gestion'!$Z$27="Media",'Riesgos gestion'!$AB$27="Menor"),CONCATENATE("R3C",'Riesgos gestion'!$P$27),"")</f>
        <v/>
      </c>
      <c r="S28" s="68" t="str">
        <f>IF(AND('Riesgos gestion'!$Z$28="Media",'Riesgos gestion'!$AB$28="Menor"),CONCATENATE("R3C",'Riesgos gestion'!$P$28),"")</f>
        <v/>
      </c>
      <c r="T28" s="68" t="str">
        <f>IF(AND('Riesgos gestion'!$Z$29="Media",'Riesgos gestion'!$AB$29="Menor"),CONCATENATE("R3C",'Riesgos gestion'!$P$29),"")</f>
        <v/>
      </c>
      <c r="U28" s="69" t="str">
        <f>IF(AND('Riesgos gestion'!$Z$30="Media",'Riesgos gestion'!$AB$30="Menor"),CONCATENATE("R3C",'Riesgos gestion'!$P$30),"")</f>
        <v/>
      </c>
      <c r="V28" s="67" t="str">
        <f>IF(AND('Riesgos gestion'!$Z$25="Media",'Riesgos gestion'!$AB$25="Moderado"),CONCATENATE("R3C",'Riesgos gestion'!$P$25),"")</f>
        <v/>
      </c>
      <c r="W28" s="68" t="str">
        <f>IF(AND('Riesgos gestion'!$Z$26="Media",'Riesgos gestion'!$AB$26="Moderado"),CONCATENATE("R3C",'Riesgos gestion'!$P$26),"")</f>
        <v/>
      </c>
      <c r="X28" s="68" t="str">
        <f>IF(AND('Riesgos gestion'!$Z$27="Media",'Riesgos gestion'!$AB$27="Moderado"),CONCATENATE("R3C",'Riesgos gestion'!$P$27),"")</f>
        <v/>
      </c>
      <c r="Y28" s="68" t="str">
        <f>IF(AND('Riesgos gestion'!$Z$28="Media",'Riesgos gestion'!$AB$28="Moderado"),CONCATENATE("R3C",'Riesgos gestion'!$P$28),"")</f>
        <v/>
      </c>
      <c r="Z28" s="68" t="str">
        <f>IF(AND('Riesgos gestion'!$Z$29="Media",'Riesgos gestion'!$AB$29="Moderado"),CONCATENATE("R3C",'Riesgos gestion'!$P$29),"")</f>
        <v/>
      </c>
      <c r="AA28" s="69" t="str">
        <f>IF(AND('Riesgos gestion'!$Z$30="Media",'Riesgos gestion'!$AB$30="Moderado"),CONCATENATE("R3C",'Riesgos gestion'!$P$30),"")</f>
        <v/>
      </c>
      <c r="AB28" s="52" t="str">
        <f>IF(AND('Riesgos gestion'!$Z$25="Media",'Riesgos gestion'!$AB$25="Mayor"),CONCATENATE("R3C",'Riesgos gestion'!$P$25),"")</f>
        <v/>
      </c>
      <c r="AC28" s="53" t="str">
        <f>IF(AND('Riesgos gestion'!$Z$26="Media",'Riesgos gestion'!$AB$26="Mayor"),CONCATENATE("R3C",'Riesgos gestion'!$P$26),"")</f>
        <v/>
      </c>
      <c r="AD28" s="53" t="str">
        <f>IF(AND('Riesgos gestion'!$Z$27="Media",'Riesgos gestion'!$AB$27="Mayor"),CONCATENATE("R3C",'Riesgos gestion'!$P$27),"")</f>
        <v/>
      </c>
      <c r="AE28" s="53" t="str">
        <f>IF(AND('Riesgos gestion'!$Z$28="Media",'Riesgos gestion'!$AB$28="Mayor"),CONCATENATE("R3C",'Riesgos gestion'!$P$28),"")</f>
        <v/>
      </c>
      <c r="AF28" s="53" t="str">
        <f>IF(AND('Riesgos gestion'!$Z$29="Media",'Riesgos gestion'!$AB$29="Mayor"),CONCATENATE("R3C",'Riesgos gestion'!$P$29),"")</f>
        <v/>
      </c>
      <c r="AG28" s="54" t="str">
        <f>IF(AND('Riesgos gestion'!$Z$30="Media",'Riesgos gestion'!$AB$30="Mayor"),CONCATENATE("R3C",'Riesgos gestion'!$P$30),"")</f>
        <v/>
      </c>
      <c r="AH28" s="55" t="str">
        <f>IF(AND('Riesgos gestion'!$Z$25="Media",'Riesgos gestion'!$AB$25="Catastrófico"),CONCATENATE("R3C",'Riesgos gestion'!$P$25),"")</f>
        <v/>
      </c>
      <c r="AI28" s="56" t="str">
        <f>IF(AND('Riesgos gestion'!$Z$26="Media",'Riesgos gestion'!$AB$26="Catastrófico"),CONCATENATE("R3C",'Riesgos gestion'!$P$26),"")</f>
        <v/>
      </c>
      <c r="AJ28" s="56" t="str">
        <f>IF(AND('Riesgos gestion'!$Z$27="Media",'Riesgos gestion'!$AB$27="Catastrófico"),CONCATENATE("R3C",'Riesgos gestion'!$P$27),"")</f>
        <v/>
      </c>
      <c r="AK28" s="56" t="str">
        <f>IF(AND('Riesgos gestion'!$Z$28="Media",'Riesgos gestion'!$AB$28="Catastrófico"),CONCATENATE("R3C",'Riesgos gestion'!$P$28),"")</f>
        <v/>
      </c>
      <c r="AL28" s="56" t="str">
        <f>IF(AND('Riesgos gestion'!$Z$29="Media",'Riesgos gestion'!$AB$29="Catastrófico"),CONCATENATE("R3C",'Riesgos gestion'!$P$29),"")</f>
        <v/>
      </c>
      <c r="AM28" s="57" t="str">
        <f>IF(AND('Riesgos gestion'!$Z$30="Media",'Riesgos gestion'!$AB$30="Catastrófico"),CONCATENATE("R3C",'Riesgos gestion'!$P$30),"")</f>
        <v/>
      </c>
      <c r="AN28" s="83"/>
      <c r="AO28" s="652"/>
      <c r="AP28" s="653"/>
      <c r="AQ28" s="653"/>
      <c r="AR28" s="653"/>
      <c r="AS28" s="653"/>
      <c r="AT28" s="65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3">
      <c r="A29" s="83"/>
      <c r="B29" s="571"/>
      <c r="C29" s="571"/>
      <c r="D29" s="572"/>
      <c r="E29" s="612"/>
      <c r="F29" s="613"/>
      <c r="G29" s="613"/>
      <c r="H29" s="613"/>
      <c r="I29" s="614"/>
      <c r="J29" s="67" t="str">
        <f>IF(AND('Riesgos gestion'!$Z$31="Media",'Riesgos gestion'!$AB$31="Leve"),CONCATENATE("R4C",'Riesgos gestion'!$P$31),"")</f>
        <v/>
      </c>
      <c r="K29" s="68" t="str">
        <f>IF(AND('Riesgos gestion'!$Z$32="Media",'Riesgos gestion'!$AB$32="Leve"),CONCATENATE("R4C",'Riesgos gestion'!$P$32),"")</f>
        <v/>
      </c>
      <c r="L29" s="68" t="str">
        <f>IF(AND('Riesgos gestion'!$Z$33="Media",'Riesgos gestion'!$AB$33="Leve"),CONCATENATE("R4C",'Riesgos gestion'!$P$33),"")</f>
        <v/>
      </c>
      <c r="M29" s="68" t="str">
        <f>IF(AND('Riesgos gestion'!$Z$34="Media",'Riesgos gestion'!$AB$34="Leve"),CONCATENATE("R4C",'Riesgos gestion'!$P$34),"")</f>
        <v/>
      </c>
      <c r="N29" s="68" t="str">
        <f>IF(AND('Riesgos gestion'!$Z$35="Media",'Riesgos gestion'!$AB$35="Leve"),CONCATENATE("R4C",'Riesgos gestion'!$P$35),"")</f>
        <v/>
      </c>
      <c r="O29" s="69" t="str">
        <f>IF(AND('Riesgos gestion'!$Z$36="Media",'Riesgos gestion'!$AB$36="Leve"),CONCATENATE("R4C",'Riesgos gestion'!$P$36),"")</f>
        <v/>
      </c>
      <c r="P29" s="67" t="str">
        <f>IF(AND('Riesgos gestion'!$Z$31="Media",'Riesgos gestion'!$AB$31="Menor"),CONCATENATE("R4C",'Riesgos gestion'!$P$31),"")</f>
        <v/>
      </c>
      <c r="Q29" s="68" t="str">
        <f>IF(AND('Riesgos gestion'!$Z$32="Media",'Riesgos gestion'!$AB$32="Menor"),CONCATENATE("R4C",'Riesgos gestion'!$P$32),"")</f>
        <v/>
      </c>
      <c r="R29" s="68" t="str">
        <f>IF(AND('Riesgos gestion'!$Z$33="Media",'Riesgos gestion'!$AB$33="Menor"),CONCATENATE("R4C",'Riesgos gestion'!$P$33),"")</f>
        <v/>
      </c>
      <c r="S29" s="68" t="str">
        <f>IF(AND('Riesgos gestion'!$Z$34="Media",'Riesgos gestion'!$AB$34="Menor"),CONCATENATE("R4C",'Riesgos gestion'!$P$34),"")</f>
        <v/>
      </c>
      <c r="T29" s="68" t="str">
        <f>IF(AND('Riesgos gestion'!$Z$35="Media",'Riesgos gestion'!$AB$35="Menor"),CONCATENATE("R4C",'Riesgos gestion'!$P$35),"")</f>
        <v/>
      </c>
      <c r="U29" s="69" t="str">
        <f>IF(AND('Riesgos gestion'!$Z$36="Media",'Riesgos gestion'!$AB$36="Menor"),CONCATENATE("R4C",'Riesgos gestion'!$P$36),"")</f>
        <v/>
      </c>
      <c r="V29" s="67" t="str">
        <f>IF(AND('Riesgos gestion'!$Z$31="Media",'Riesgos gestion'!$AB$31="Moderado"),CONCATENATE("R4C",'Riesgos gestion'!$P$31),"")</f>
        <v/>
      </c>
      <c r="W29" s="68" t="str">
        <f>IF(AND('Riesgos gestion'!$Z$32="Media",'Riesgos gestion'!$AB$32="Moderado"),CONCATENATE("R4C",'Riesgos gestion'!$P$32),"")</f>
        <v/>
      </c>
      <c r="X29" s="68" t="str">
        <f>IF(AND('Riesgos gestion'!$Z$33="Media",'Riesgos gestion'!$AB$33="Moderado"),CONCATENATE("R4C",'Riesgos gestion'!$P$33),"")</f>
        <v/>
      </c>
      <c r="Y29" s="68" t="str">
        <f>IF(AND('Riesgos gestion'!$Z$34="Media",'Riesgos gestion'!$AB$34="Moderado"),CONCATENATE("R4C",'Riesgos gestion'!$P$34),"")</f>
        <v/>
      </c>
      <c r="Z29" s="68" t="str">
        <f>IF(AND('Riesgos gestion'!$Z$35="Media",'Riesgos gestion'!$AB$35="Moderado"),CONCATENATE("R4C",'Riesgos gestion'!$P$35),"")</f>
        <v/>
      </c>
      <c r="AA29" s="69" t="str">
        <f>IF(AND('Riesgos gestion'!$Z$36="Media",'Riesgos gestion'!$AB$36="Moderado"),CONCATENATE("R4C",'Riesgos gestion'!$P$36),"")</f>
        <v/>
      </c>
      <c r="AB29" s="52" t="str">
        <f>IF(AND('Riesgos gestion'!$Z$31="Media",'Riesgos gestion'!$AB$31="Mayor"),CONCATENATE("R4C",'Riesgos gestion'!$P$31),"")</f>
        <v/>
      </c>
      <c r="AC29" s="53" t="str">
        <f>IF(AND('Riesgos gestion'!$Z$32="Media",'Riesgos gestion'!$AB$32="Mayor"),CONCATENATE("R4C",'Riesgos gestion'!$P$32),"")</f>
        <v/>
      </c>
      <c r="AD29" s="53" t="str">
        <f>IF(AND('Riesgos gestion'!$Z$33="Media",'Riesgos gestion'!$AB$33="Mayor"),CONCATENATE("R4C",'Riesgos gestion'!$P$33),"")</f>
        <v/>
      </c>
      <c r="AE29" s="53" t="str">
        <f>IF(AND('Riesgos gestion'!$Z$34="Media",'Riesgos gestion'!$AB$34="Mayor"),CONCATENATE("R4C",'Riesgos gestion'!$P$34),"")</f>
        <v/>
      </c>
      <c r="AF29" s="53" t="str">
        <f>IF(AND('Riesgos gestion'!$Z$35="Media",'Riesgos gestion'!$AB$35="Mayor"),CONCATENATE("R4C",'Riesgos gestion'!$P$35),"")</f>
        <v/>
      </c>
      <c r="AG29" s="54" t="str">
        <f>IF(AND('Riesgos gestion'!$Z$36="Media",'Riesgos gestion'!$AB$36="Mayor"),CONCATENATE("R4C",'Riesgos gestion'!$P$36),"")</f>
        <v/>
      </c>
      <c r="AH29" s="55" t="str">
        <f>IF(AND('Riesgos gestion'!$Z$31="Media",'Riesgos gestion'!$AB$31="Catastrófico"),CONCATENATE("R4C",'Riesgos gestion'!$P$31),"")</f>
        <v/>
      </c>
      <c r="AI29" s="56" t="str">
        <f>IF(AND('Riesgos gestion'!$Z$32="Media",'Riesgos gestion'!$AB$32="Catastrófico"),CONCATENATE("R4C",'Riesgos gestion'!$P$32),"")</f>
        <v/>
      </c>
      <c r="AJ29" s="56" t="str">
        <f>IF(AND('Riesgos gestion'!$Z$33="Media",'Riesgos gestion'!$AB$33="Catastrófico"),CONCATENATE("R4C",'Riesgos gestion'!$P$33),"")</f>
        <v/>
      </c>
      <c r="AK29" s="56" t="str">
        <f>IF(AND('Riesgos gestion'!$Z$34="Media",'Riesgos gestion'!$AB$34="Catastrófico"),CONCATENATE("R4C",'Riesgos gestion'!$P$34),"")</f>
        <v/>
      </c>
      <c r="AL29" s="56" t="str">
        <f>IF(AND('Riesgos gestion'!$Z$35="Media",'Riesgos gestion'!$AB$35="Catastrófico"),CONCATENATE("R4C",'Riesgos gestion'!$P$35),"")</f>
        <v/>
      </c>
      <c r="AM29" s="57" t="str">
        <f>IF(AND('Riesgos gestion'!$Z$36="Media",'Riesgos gestion'!$AB$36="Catastrófico"),CONCATENATE("R4C",'Riesgos gestion'!$P$36),"")</f>
        <v/>
      </c>
      <c r="AN29" s="83"/>
      <c r="AO29" s="652"/>
      <c r="AP29" s="653"/>
      <c r="AQ29" s="653"/>
      <c r="AR29" s="653"/>
      <c r="AS29" s="653"/>
      <c r="AT29" s="65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3">
      <c r="A30" s="83"/>
      <c r="B30" s="571"/>
      <c r="C30" s="571"/>
      <c r="D30" s="572"/>
      <c r="E30" s="612"/>
      <c r="F30" s="613"/>
      <c r="G30" s="613"/>
      <c r="H30" s="613"/>
      <c r="I30" s="614"/>
      <c r="J30" s="67" t="str">
        <f>IF(AND('Riesgos gestion'!$Z$37="Media",'Riesgos gestion'!$AB$37="Leve"),CONCATENATE("R5C",'Riesgos gestion'!$P$37),"")</f>
        <v/>
      </c>
      <c r="K30" s="68" t="str">
        <f>IF(AND('Riesgos gestion'!$Z$38="Media",'Riesgos gestion'!$AB$38="Leve"),CONCATENATE("R5C",'Riesgos gestion'!$P$38),"")</f>
        <v/>
      </c>
      <c r="L30" s="68" t="str">
        <f>IF(AND('Riesgos gestion'!$Z$39="Media",'Riesgos gestion'!$AB$39="Leve"),CONCATENATE("R5C",'Riesgos gestion'!$P$39),"")</f>
        <v/>
      </c>
      <c r="M30" s="68" t="str">
        <f>IF(AND('Riesgos gestion'!$Z$40="Media",'Riesgos gestion'!$AB$40="Leve"),CONCATENATE("R5C",'Riesgos gestion'!$P$40),"")</f>
        <v/>
      </c>
      <c r="N30" s="68" t="str">
        <f>IF(AND('Riesgos gestion'!$Z$41="Media",'Riesgos gestion'!$AB$41="Leve"),CONCATENATE("R5C",'Riesgos gestion'!$P$41),"")</f>
        <v/>
      </c>
      <c r="O30" s="69" t="str">
        <f>IF(AND('Riesgos gestion'!$Z$42="Media",'Riesgos gestion'!$AB$42="Leve"),CONCATENATE("R5C",'Riesgos gestion'!$P$42),"")</f>
        <v/>
      </c>
      <c r="P30" s="67" t="str">
        <f>IF(AND('Riesgos gestion'!$Z$37="Media",'Riesgos gestion'!$AB$37="Menor"),CONCATENATE("R5C",'Riesgos gestion'!$P$37),"")</f>
        <v/>
      </c>
      <c r="Q30" s="68" t="str">
        <f>IF(AND('Riesgos gestion'!$Z$38="Media",'Riesgos gestion'!$AB$38="Menor"),CONCATENATE("R5C",'Riesgos gestion'!$P$38),"")</f>
        <v/>
      </c>
      <c r="R30" s="68" t="str">
        <f>IF(AND('Riesgos gestion'!$Z$39="Media",'Riesgos gestion'!$AB$39="Menor"),CONCATENATE("R5C",'Riesgos gestion'!$P$39),"")</f>
        <v/>
      </c>
      <c r="S30" s="68" t="str">
        <f>IF(AND('Riesgos gestion'!$Z$40="Media",'Riesgos gestion'!$AB$40="Menor"),CONCATENATE("R5C",'Riesgos gestion'!$P$40),"")</f>
        <v/>
      </c>
      <c r="T30" s="68" t="str">
        <f>IF(AND('Riesgos gestion'!$Z$41="Media",'Riesgos gestion'!$AB$41="Menor"),CONCATENATE("R5C",'Riesgos gestion'!$P$41),"")</f>
        <v/>
      </c>
      <c r="U30" s="69" t="str">
        <f>IF(AND('Riesgos gestion'!$Z$42="Media",'Riesgos gestion'!$AB$42="Menor"),CONCATENATE("R5C",'Riesgos gestion'!$P$42),"")</f>
        <v/>
      </c>
      <c r="V30" s="67" t="str">
        <f>IF(AND('Riesgos gestion'!$Z$37="Media",'Riesgos gestion'!$AB$37="Moderado"),CONCATENATE("R5C",'Riesgos gestion'!$P$37),"")</f>
        <v/>
      </c>
      <c r="W30" s="68" t="str">
        <f>IF(AND('Riesgos gestion'!$Z$38="Media",'Riesgos gestion'!$AB$38="Moderado"),CONCATENATE("R5C",'Riesgos gestion'!$P$38),"")</f>
        <v/>
      </c>
      <c r="X30" s="68" t="str">
        <f>IF(AND('Riesgos gestion'!$Z$39="Media",'Riesgos gestion'!$AB$39="Moderado"),CONCATENATE("R5C",'Riesgos gestion'!$P$39),"")</f>
        <v/>
      </c>
      <c r="Y30" s="68" t="str">
        <f>IF(AND('Riesgos gestion'!$Z$40="Media",'Riesgos gestion'!$AB$40="Moderado"),CONCATENATE("R5C",'Riesgos gestion'!$P$40),"")</f>
        <v/>
      </c>
      <c r="Z30" s="68" t="str">
        <f>IF(AND('Riesgos gestion'!$Z$41="Media",'Riesgos gestion'!$AB$41="Moderado"),CONCATENATE("R5C",'Riesgos gestion'!$P$41),"")</f>
        <v/>
      </c>
      <c r="AA30" s="69" t="str">
        <f>IF(AND('Riesgos gestion'!$Z$42="Media",'Riesgos gestion'!$AB$42="Moderado"),CONCATENATE("R5C",'Riesgos gestion'!$P$42),"")</f>
        <v/>
      </c>
      <c r="AB30" s="52" t="str">
        <f>IF(AND('Riesgos gestion'!$Z$37="Media",'Riesgos gestion'!$AB$37="Mayor"),CONCATENATE("R5C",'Riesgos gestion'!$P$37),"")</f>
        <v/>
      </c>
      <c r="AC30" s="53" t="str">
        <f>IF(AND('Riesgos gestion'!$Z$38="Media",'Riesgos gestion'!$AB$38="Mayor"),CONCATENATE("R5C",'Riesgos gestion'!$P$38),"")</f>
        <v/>
      </c>
      <c r="AD30" s="53" t="str">
        <f>IF(AND('Riesgos gestion'!$Z$39="Media",'Riesgos gestion'!$AB$39="Mayor"),CONCATENATE("R5C",'Riesgos gestion'!$P$39),"")</f>
        <v/>
      </c>
      <c r="AE30" s="53" t="str">
        <f>IF(AND('Riesgos gestion'!$Z$40="Media",'Riesgos gestion'!$AB$40="Mayor"),CONCATENATE("R5C",'Riesgos gestion'!$P$40),"")</f>
        <v/>
      </c>
      <c r="AF30" s="53" t="str">
        <f>IF(AND('Riesgos gestion'!$Z$41="Media",'Riesgos gestion'!$AB$41="Mayor"),CONCATENATE("R5C",'Riesgos gestion'!$P$41),"")</f>
        <v/>
      </c>
      <c r="AG30" s="54" t="str">
        <f>IF(AND('Riesgos gestion'!$Z$42="Media",'Riesgos gestion'!$AB$42="Mayor"),CONCATENATE("R5C",'Riesgos gestion'!$P$42),"")</f>
        <v/>
      </c>
      <c r="AH30" s="55" t="str">
        <f>IF(AND('Riesgos gestion'!$Z$37="Media",'Riesgos gestion'!$AB$37="Catastrófico"),CONCATENATE("R5C",'Riesgos gestion'!$P$37),"")</f>
        <v/>
      </c>
      <c r="AI30" s="56" t="str">
        <f>IF(AND('Riesgos gestion'!$Z$38="Media",'Riesgos gestion'!$AB$38="Catastrófico"),CONCATENATE("R5C",'Riesgos gestion'!$P$38),"")</f>
        <v/>
      </c>
      <c r="AJ30" s="56" t="str">
        <f>IF(AND('Riesgos gestion'!$Z$39="Media",'Riesgos gestion'!$AB$39="Catastrófico"),CONCATENATE("R5C",'Riesgos gestion'!$P$39),"")</f>
        <v/>
      </c>
      <c r="AK30" s="56" t="str">
        <f>IF(AND('Riesgos gestion'!$Z$40="Media",'Riesgos gestion'!$AB$40="Catastrófico"),CONCATENATE("R5C",'Riesgos gestion'!$P$40),"")</f>
        <v/>
      </c>
      <c r="AL30" s="56" t="str">
        <f>IF(AND('Riesgos gestion'!$Z$41="Media",'Riesgos gestion'!$AB$41="Catastrófico"),CONCATENATE("R5C",'Riesgos gestion'!$P$41),"")</f>
        <v/>
      </c>
      <c r="AM30" s="57" t="str">
        <f>IF(AND('Riesgos gestion'!$Z$42="Media",'Riesgos gestion'!$AB$42="Catastrófico"),CONCATENATE("R5C",'Riesgos gestion'!$P$42),"")</f>
        <v/>
      </c>
      <c r="AN30" s="83"/>
      <c r="AO30" s="652"/>
      <c r="AP30" s="653"/>
      <c r="AQ30" s="653"/>
      <c r="AR30" s="653"/>
      <c r="AS30" s="653"/>
      <c r="AT30" s="654"/>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3">
      <c r="A31" s="83"/>
      <c r="B31" s="571"/>
      <c r="C31" s="571"/>
      <c r="D31" s="572"/>
      <c r="E31" s="612"/>
      <c r="F31" s="613"/>
      <c r="G31" s="613"/>
      <c r="H31" s="613"/>
      <c r="I31" s="614"/>
      <c r="J31" s="67" t="str">
        <f>IF(AND('Riesgos gestion'!$Z$43="Media",'Riesgos gestion'!$AB$43="Leve"),CONCATENATE("R6C",'Riesgos gestion'!$P$43),"")</f>
        <v/>
      </c>
      <c r="K31" s="68" t="str">
        <f>IF(AND('Riesgos gestion'!$Z$44="Media",'Riesgos gestion'!$AB$44="Leve"),CONCATENATE("R6C",'Riesgos gestion'!$P$44),"")</f>
        <v/>
      </c>
      <c r="L31" s="68" t="str">
        <f>IF(AND('Riesgos gestion'!$Z$45="Media",'Riesgos gestion'!$AB$45="Leve"),CONCATENATE("R6C",'Riesgos gestion'!$P$45),"")</f>
        <v/>
      </c>
      <c r="M31" s="68" t="str">
        <f>IF(AND('Riesgos gestion'!$Z$46="Media",'Riesgos gestion'!$AB$46="Leve"),CONCATENATE("R6C",'Riesgos gestion'!$P$46),"")</f>
        <v/>
      </c>
      <c r="N31" s="68" t="str">
        <f>IF(AND('Riesgos gestion'!$Z$47="Media",'Riesgos gestion'!$AB$47="Leve"),CONCATENATE("R6C",'Riesgos gestion'!$P$47),"")</f>
        <v/>
      </c>
      <c r="O31" s="69" t="str">
        <f>IF(AND('Riesgos gestion'!$Z$48="Media",'Riesgos gestion'!$AB$48="Leve"),CONCATENATE("R6C",'Riesgos gestion'!$P$48),"")</f>
        <v/>
      </c>
      <c r="P31" s="67" t="str">
        <f>IF(AND('Riesgos gestion'!$Z$43="Media",'Riesgos gestion'!$AB$43="Menor"),CONCATENATE("R6C",'Riesgos gestion'!$P$43),"")</f>
        <v/>
      </c>
      <c r="Q31" s="68" t="str">
        <f>IF(AND('Riesgos gestion'!$Z$44="Media",'Riesgos gestion'!$AB$44="Menor"),CONCATENATE("R6C",'Riesgos gestion'!$P$44),"")</f>
        <v/>
      </c>
      <c r="R31" s="68" t="str">
        <f>IF(AND('Riesgos gestion'!$Z$45="Media",'Riesgos gestion'!$AB$45="Menor"),CONCATENATE("R6C",'Riesgos gestion'!$P$45),"")</f>
        <v/>
      </c>
      <c r="S31" s="68" t="str">
        <f>IF(AND('Riesgos gestion'!$Z$46="Media",'Riesgos gestion'!$AB$46="Menor"),CONCATENATE("R6C",'Riesgos gestion'!$P$46),"")</f>
        <v/>
      </c>
      <c r="T31" s="68" t="str">
        <f>IF(AND('Riesgos gestion'!$Z$47="Media",'Riesgos gestion'!$AB$47="Menor"),CONCATENATE("R6C",'Riesgos gestion'!$P$47),"")</f>
        <v/>
      </c>
      <c r="U31" s="69" t="str">
        <f>IF(AND('Riesgos gestion'!$Z$48="Media",'Riesgos gestion'!$AB$48="Menor"),CONCATENATE("R6C",'Riesgos gestion'!$P$48),"")</f>
        <v/>
      </c>
      <c r="V31" s="67" t="str">
        <f>IF(AND('Riesgos gestion'!$Z$43="Media",'Riesgos gestion'!$AB$43="Moderado"),CONCATENATE("R6C",'Riesgos gestion'!$P$43),"")</f>
        <v/>
      </c>
      <c r="W31" s="68" t="str">
        <f>IF(AND('Riesgos gestion'!$Z$44="Media",'Riesgos gestion'!$AB$44="Moderado"),CONCATENATE("R6C",'Riesgos gestion'!$P$44),"")</f>
        <v/>
      </c>
      <c r="X31" s="68" t="str">
        <f>IF(AND('Riesgos gestion'!$Z$45="Media",'Riesgos gestion'!$AB$45="Moderado"),CONCATENATE("R6C",'Riesgos gestion'!$P$45),"")</f>
        <v/>
      </c>
      <c r="Y31" s="68" t="str">
        <f>IF(AND('Riesgos gestion'!$Z$46="Media",'Riesgos gestion'!$AB$46="Moderado"),CONCATENATE("R6C",'Riesgos gestion'!$P$46),"")</f>
        <v/>
      </c>
      <c r="Z31" s="68" t="str">
        <f>IF(AND('Riesgos gestion'!$Z$47="Media",'Riesgos gestion'!$AB$47="Moderado"),CONCATENATE("R6C",'Riesgos gestion'!$P$47),"")</f>
        <v/>
      </c>
      <c r="AA31" s="69" t="str">
        <f>IF(AND('Riesgos gestion'!$Z$48="Media",'Riesgos gestion'!$AB$48="Moderado"),CONCATENATE("R6C",'Riesgos gestion'!$P$48),"")</f>
        <v/>
      </c>
      <c r="AB31" s="52" t="str">
        <f>IF(AND('Riesgos gestion'!$Z$43="Media",'Riesgos gestion'!$AB$43="Mayor"),CONCATENATE("R6C",'Riesgos gestion'!$P$43),"")</f>
        <v/>
      </c>
      <c r="AC31" s="53" t="str">
        <f>IF(AND('Riesgos gestion'!$Z$44="Media",'Riesgos gestion'!$AB$44="Mayor"),CONCATENATE("R6C",'Riesgos gestion'!$P$44),"")</f>
        <v/>
      </c>
      <c r="AD31" s="53" t="str">
        <f>IF(AND('Riesgos gestion'!$Z$45="Media",'Riesgos gestion'!$AB$45="Mayor"),CONCATENATE("R6C",'Riesgos gestion'!$P$45),"")</f>
        <v/>
      </c>
      <c r="AE31" s="53" t="str">
        <f>IF(AND('Riesgos gestion'!$Z$46="Media",'Riesgos gestion'!$AB$46="Mayor"),CONCATENATE("R6C",'Riesgos gestion'!$P$46),"")</f>
        <v/>
      </c>
      <c r="AF31" s="53" t="str">
        <f>IF(AND('Riesgos gestion'!$Z$47="Media",'Riesgos gestion'!$AB$47="Mayor"),CONCATENATE("R6C",'Riesgos gestion'!$P$47),"")</f>
        <v/>
      </c>
      <c r="AG31" s="54" t="str">
        <f>IF(AND('Riesgos gestion'!$Z$48="Media",'Riesgos gestion'!$AB$48="Mayor"),CONCATENATE("R6C",'Riesgos gestion'!$P$48),"")</f>
        <v/>
      </c>
      <c r="AH31" s="55" t="str">
        <f>IF(AND('Riesgos gestion'!$Z$43="Media",'Riesgos gestion'!$AB$43="Catastrófico"),CONCATENATE("R6C",'Riesgos gestion'!$P$43),"")</f>
        <v/>
      </c>
      <c r="AI31" s="56" t="str">
        <f>IF(AND('Riesgos gestion'!$Z$44="Media",'Riesgos gestion'!$AB$44="Catastrófico"),CONCATENATE("R6C",'Riesgos gestion'!$P$44),"")</f>
        <v/>
      </c>
      <c r="AJ31" s="56" t="str">
        <f>IF(AND('Riesgos gestion'!$Z$45="Media",'Riesgos gestion'!$AB$45="Catastrófico"),CONCATENATE("R6C",'Riesgos gestion'!$P$45),"")</f>
        <v/>
      </c>
      <c r="AK31" s="56" t="str">
        <f>IF(AND('Riesgos gestion'!$Z$46="Media",'Riesgos gestion'!$AB$46="Catastrófico"),CONCATENATE("R6C",'Riesgos gestion'!$P$46),"")</f>
        <v/>
      </c>
      <c r="AL31" s="56" t="str">
        <f>IF(AND('Riesgos gestion'!$Z$47="Media",'Riesgos gestion'!$AB$47="Catastrófico"),CONCATENATE("R6C",'Riesgos gestion'!$P$47),"")</f>
        <v/>
      </c>
      <c r="AM31" s="57" t="str">
        <f>IF(AND('Riesgos gestion'!$Z$48="Media",'Riesgos gestion'!$AB$48="Catastrófico"),CONCATENATE("R6C",'Riesgos gestion'!$P$48),"")</f>
        <v/>
      </c>
      <c r="AN31" s="83"/>
      <c r="AO31" s="652"/>
      <c r="AP31" s="653"/>
      <c r="AQ31" s="653"/>
      <c r="AR31" s="653"/>
      <c r="AS31" s="653"/>
      <c r="AT31" s="654"/>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3">
      <c r="A32" s="83"/>
      <c r="B32" s="571"/>
      <c r="C32" s="571"/>
      <c r="D32" s="572"/>
      <c r="E32" s="612"/>
      <c r="F32" s="613"/>
      <c r="G32" s="613"/>
      <c r="H32" s="613"/>
      <c r="I32" s="614"/>
      <c r="J32" s="67" t="str">
        <f>IF(AND('Riesgos gestion'!$Z$49="Media",'Riesgos gestion'!$AB$49="Leve"),CONCATENATE("R7C",'Riesgos gestion'!$P$49),"")</f>
        <v/>
      </c>
      <c r="K32" s="68" t="str">
        <f>IF(AND('Riesgos gestion'!$Z$50="Media",'Riesgos gestion'!$AB$50="Leve"),CONCATENATE("R7C",'Riesgos gestion'!$P$50),"")</f>
        <v/>
      </c>
      <c r="L32" s="68" t="str">
        <f>IF(AND('Riesgos gestion'!$Z$51="Media",'Riesgos gestion'!$AB$51="Leve"),CONCATENATE("R7C",'Riesgos gestion'!$P$51),"")</f>
        <v/>
      </c>
      <c r="M32" s="68" t="str">
        <f>IF(AND('Riesgos gestion'!$Z$52="Media",'Riesgos gestion'!$AB$52="Leve"),CONCATENATE("R7C",'Riesgos gestion'!$P$52),"")</f>
        <v/>
      </c>
      <c r="N32" s="68" t="str">
        <f>IF(AND('Riesgos gestion'!$Z$53="Media",'Riesgos gestion'!$AB$53="Leve"),CONCATENATE("R7C",'Riesgos gestion'!$P$53),"")</f>
        <v/>
      </c>
      <c r="O32" s="69" t="str">
        <f>IF(AND('Riesgos gestion'!$Z$54="Media",'Riesgos gestion'!$AB$54="Leve"),CONCATENATE("R7C",'Riesgos gestion'!$P$54),"")</f>
        <v/>
      </c>
      <c r="P32" s="67" t="str">
        <f>IF(AND('Riesgos gestion'!$Z$49="Media",'Riesgos gestion'!$AB$49="Menor"),CONCATENATE("R7C",'Riesgos gestion'!$P$49),"")</f>
        <v/>
      </c>
      <c r="Q32" s="68" t="str">
        <f>IF(AND('Riesgos gestion'!$Z$50="Media",'Riesgos gestion'!$AB$50="Menor"),CONCATENATE("R7C",'Riesgos gestion'!$P$50),"")</f>
        <v/>
      </c>
      <c r="R32" s="68" t="str">
        <f>IF(AND('Riesgos gestion'!$Z$51="Media",'Riesgos gestion'!$AB$51="Menor"),CONCATENATE("R7C",'Riesgos gestion'!$P$51),"")</f>
        <v/>
      </c>
      <c r="S32" s="68" t="str">
        <f>IF(AND('Riesgos gestion'!$Z$52="Media",'Riesgos gestion'!$AB$52="Menor"),CONCATENATE("R7C",'Riesgos gestion'!$P$52),"")</f>
        <v/>
      </c>
      <c r="T32" s="68" t="str">
        <f>IF(AND('Riesgos gestion'!$Z$53="Media",'Riesgos gestion'!$AB$53="Menor"),CONCATENATE("R7C",'Riesgos gestion'!$P$53),"")</f>
        <v/>
      </c>
      <c r="U32" s="69" t="str">
        <f>IF(AND('Riesgos gestion'!$Z$54="Media",'Riesgos gestion'!$AB$54="Menor"),CONCATENATE("R7C",'Riesgos gestion'!$P$54),"")</f>
        <v/>
      </c>
      <c r="V32" s="67" t="str">
        <f>IF(AND('Riesgos gestion'!$Z$49="Media",'Riesgos gestion'!$AB$49="Moderado"),CONCATENATE("R7C",'Riesgos gestion'!$P$49),"")</f>
        <v/>
      </c>
      <c r="W32" s="68" t="str">
        <f>IF(AND('Riesgos gestion'!$Z$50="Media",'Riesgos gestion'!$AB$50="Moderado"),CONCATENATE("R7C",'Riesgos gestion'!$P$50),"")</f>
        <v/>
      </c>
      <c r="X32" s="68" t="str">
        <f>IF(AND('Riesgos gestion'!$Z$51="Media",'Riesgos gestion'!$AB$51="Moderado"),CONCATENATE("R7C",'Riesgos gestion'!$P$51),"")</f>
        <v/>
      </c>
      <c r="Y32" s="68" t="str">
        <f>IF(AND('Riesgos gestion'!$Z$52="Media",'Riesgos gestion'!$AB$52="Moderado"),CONCATENATE("R7C",'Riesgos gestion'!$P$52),"")</f>
        <v/>
      </c>
      <c r="Z32" s="68" t="str">
        <f>IF(AND('Riesgos gestion'!$Z$53="Media",'Riesgos gestion'!$AB$53="Moderado"),CONCATENATE("R7C",'Riesgos gestion'!$P$53),"")</f>
        <v/>
      </c>
      <c r="AA32" s="69" t="str">
        <f>IF(AND('Riesgos gestion'!$Z$54="Media",'Riesgos gestion'!$AB$54="Moderado"),CONCATENATE("R7C",'Riesgos gestion'!$P$54),"")</f>
        <v/>
      </c>
      <c r="AB32" s="52" t="str">
        <f>IF(AND('Riesgos gestion'!$Z$49="Media",'Riesgos gestion'!$AB$49="Mayor"),CONCATENATE("R7C",'Riesgos gestion'!$P$49),"")</f>
        <v/>
      </c>
      <c r="AC32" s="53" t="str">
        <f>IF(AND('Riesgos gestion'!$Z$50="Media",'Riesgos gestion'!$AB$50="Mayor"),CONCATENATE("R7C",'Riesgos gestion'!$P$50),"")</f>
        <v/>
      </c>
      <c r="AD32" s="53" t="str">
        <f>IF(AND('Riesgos gestion'!$Z$51="Media",'Riesgos gestion'!$AB$51="Mayor"),CONCATENATE("R7C",'Riesgos gestion'!$P$51),"")</f>
        <v/>
      </c>
      <c r="AE32" s="53" t="str">
        <f>IF(AND('Riesgos gestion'!$Z$52="Media",'Riesgos gestion'!$AB$52="Mayor"),CONCATENATE("R7C",'Riesgos gestion'!$P$52),"")</f>
        <v/>
      </c>
      <c r="AF32" s="53" t="str">
        <f>IF(AND('Riesgos gestion'!$Z$53="Media",'Riesgos gestion'!$AB$53="Mayor"),CONCATENATE("R7C",'Riesgos gestion'!$P$53),"")</f>
        <v/>
      </c>
      <c r="AG32" s="54" t="str">
        <f>IF(AND('Riesgos gestion'!$Z$54="Media",'Riesgos gestion'!$AB$54="Mayor"),CONCATENATE("R7C",'Riesgos gestion'!$P$54),"")</f>
        <v/>
      </c>
      <c r="AH32" s="55" t="str">
        <f>IF(AND('Riesgos gestion'!$Z$49="Media",'Riesgos gestion'!$AB$49="Catastrófico"),CONCATENATE("R7C",'Riesgos gestion'!$P$49),"")</f>
        <v/>
      </c>
      <c r="AI32" s="56" t="str">
        <f>IF(AND('Riesgos gestion'!$Z$50="Media",'Riesgos gestion'!$AB$50="Catastrófico"),CONCATENATE("R7C",'Riesgos gestion'!$P$50),"")</f>
        <v/>
      </c>
      <c r="AJ32" s="56" t="str">
        <f>IF(AND('Riesgos gestion'!$Z$51="Media",'Riesgos gestion'!$AB$51="Catastrófico"),CONCATENATE("R7C",'Riesgos gestion'!$P$51),"")</f>
        <v/>
      </c>
      <c r="AK32" s="56" t="str">
        <f>IF(AND('Riesgos gestion'!$Z$52="Media",'Riesgos gestion'!$AB$52="Catastrófico"),CONCATENATE("R7C",'Riesgos gestion'!$P$52),"")</f>
        <v/>
      </c>
      <c r="AL32" s="56" t="str">
        <f>IF(AND('Riesgos gestion'!$Z$53="Media",'Riesgos gestion'!$AB$53="Catastrófico"),CONCATENATE("R7C",'Riesgos gestion'!$P$53),"")</f>
        <v/>
      </c>
      <c r="AM32" s="57" t="str">
        <f>IF(AND('Riesgos gestion'!$Z$54="Media",'Riesgos gestion'!$AB$54="Catastrófico"),CONCATENATE("R7C",'Riesgos gestion'!$P$54),"")</f>
        <v/>
      </c>
      <c r="AN32" s="83"/>
      <c r="AO32" s="652"/>
      <c r="AP32" s="653"/>
      <c r="AQ32" s="653"/>
      <c r="AR32" s="653"/>
      <c r="AS32" s="653"/>
      <c r="AT32" s="654"/>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3">
      <c r="A33" s="83"/>
      <c r="B33" s="571"/>
      <c r="C33" s="571"/>
      <c r="D33" s="572"/>
      <c r="E33" s="612"/>
      <c r="F33" s="613"/>
      <c r="G33" s="613"/>
      <c r="H33" s="613"/>
      <c r="I33" s="614"/>
      <c r="J33" s="67" t="str">
        <f>IF(AND('Riesgos gestion'!$Z$55="Media",'Riesgos gestion'!$AB$55="Leve"),CONCATENATE("R8C",'Riesgos gestion'!$P$55),"")</f>
        <v/>
      </c>
      <c r="K33" s="68" t="str">
        <f>IF(AND('Riesgos gestion'!$Z$56="Media",'Riesgos gestion'!$AB$56="Leve"),CONCATENATE("R8C",'Riesgos gestion'!$P$56),"")</f>
        <v/>
      </c>
      <c r="L33" s="68" t="str">
        <f>IF(AND('Riesgos gestion'!$Z$57="Media",'Riesgos gestion'!$AB$57="Leve"),CONCATENATE("R8C",'Riesgos gestion'!$P$57),"")</f>
        <v/>
      </c>
      <c r="M33" s="68" t="str">
        <f>IF(AND('Riesgos gestion'!$Z$58="Media",'Riesgos gestion'!$AB$58="Leve"),CONCATENATE("R8C",'Riesgos gestion'!$P$58),"")</f>
        <v/>
      </c>
      <c r="N33" s="68" t="str">
        <f>IF(AND('Riesgos gestion'!$Z$59="Media",'Riesgos gestion'!$AB$59="Leve"),CONCATENATE("R8C",'Riesgos gestion'!$P$59),"")</f>
        <v/>
      </c>
      <c r="O33" s="69" t="str">
        <f>IF(AND('Riesgos gestion'!$Z$60="Media",'Riesgos gestion'!$AB$60="Leve"),CONCATENATE("R8C",'Riesgos gestion'!$P$60),"")</f>
        <v/>
      </c>
      <c r="P33" s="67" t="str">
        <f>IF(AND('Riesgos gestion'!$Z$55="Media",'Riesgos gestion'!$AB$55="Menor"),CONCATENATE("R8C",'Riesgos gestion'!$P$55),"")</f>
        <v/>
      </c>
      <c r="Q33" s="68" t="str">
        <f>IF(AND('Riesgos gestion'!$Z$56="Media",'Riesgos gestion'!$AB$56="Menor"),CONCATENATE("R8C",'Riesgos gestion'!$P$56),"")</f>
        <v/>
      </c>
      <c r="R33" s="68" t="str">
        <f>IF(AND('Riesgos gestion'!$Z$57="Media",'Riesgos gestion'!$AB$57="Menor"),CONCATENATE("R8C",'Riesgos gestion'!$P$57),"")</f>
        <v/>
      </c>
      <c r="S33" s="68" t="str">
        <f>IF(AND('Riesgos gestion'!$Z$58="Media",'Riesgos gestion'!$AB$58="Menor"),CONCATENATE("R8C",'Riesgos gestion'!$P$58),"")</f>
        <v/>
      </c>
      <c r="T33" s="68" t="str">
        <f>IF(AND('Riesgos gestion'!$Z$59="Media",'Riesgos gestion'!$AB$59="Menor"),CONCATENATE("R8C",'Riesgos gestion'!$P$59),"")</f>
        <v/>
      </c>
      <c r="U33" s="69" t="str">
        <f>IF(AND('Riesgos gestion'!$Z$60="Media",'Riesgos gestion'!$AB$60="Menor"),CONCATENATE("R8C",'Riesgos gestion'!$P$60),"")</f>
        <v/>
      </c>
      <c r="V33" s="67" t="str">
        <f>IF(AND('Riesgos gestion'!$Z$55="Media",'Riesgos gestion'!$AB$55="Moderado"),CONCATENATE("R8C",'Riesgos gestion'!$P$55),"")</f>
        <v/>
      </c>
      <c r="W33" s="68" t="str">
        <f>IF(AND('Riesgos gestion'!$Z$56="Media",'Riesgos gestion'!$AB$56="Moderado"),CONCATENATE("R8C",'Riesgos gestion'!$P$56),"")</f>
        <v/>
      </c>
      <c r="X33" s="68" t="str">
        <f>IF(AND('Riesgos gestion'!$Z$57="Media",'Riesgos gestion'!$AB$57="Moderado"),CONCATENATE("R8C",'Riesgos gestion'!$P$57),"")</f>
        <v/>
      </c>
      <c r="Y33" s="68" t="str">
        <f>IF(AND('Riesgos gestion'!$Z$58="Media",'Riesgos gestion'!$AB$58="Moderado"),CONCATENATE("R8C",'Riesgos gestion'!$P$58),"")</f>
        <v/>
      </c>
      <c r="Z33" s="68" t="str">
        <f>IF(AND('Riesgos gestion'!$Z$59="Media",'Riesgos gestion'!$AB$59="Moderado"),CONCATENATE("R8C",'Riesgos gestion'!$P$59),"")</f>
        <v/>
      </c>
      <c r="AA33" s="69" t="str">
        <f>IF(AND('Riesgos gestion'!$Z$60="Media",'Riesgos gestion'!$AB$60="Moderado"),CONCATENATE("R8C",'Riesgos gestion'!$P$60),"")</f>
        <v/>
      </c>
      <c r="AB33" s="52" t="str">
        <f>IF(AND('Riesgos gestion'!$Z$55="Media",'Riesgos gestion'!$AB$55="Mayor"),CONCATENATE("R8C",'Riesgos gestion'!$P$55),"")</f>
        <v/>
      </c>
      <c r="AC33" s="53" t="str">
        <f>IF(AND('Riesgos gestion'!$Z$56="Media",'Riesgos gestion'!$AB$56="Mayor"),CONCATENATE("R8C",'Riesgos gestion'!$P$56),"")</f>
        <v/>
      </c>
      <c r="AD33" s="53" t="str">
        <f>IF(AND('Riesgos gestion'!$Z$57="Media",'Riesgos gestion'!$AB$57="Mayor"),CONCATENATE("R8C",'Riesgos gestion'!$P$57),"")</f>
        <v/>
      </c>
      <c r="AE33" s="53" t="str">
        <f>IF(AND('Riesgos gestion'!$Z$58="Media",'Riesgos gestion'!$AB$58="Mayor"),CONCATENATE("R8C",'Riesgos gestion'!$P$58),"")</f>
        <v/>
      </c>
      <c r="AF33" s="53" t="str">
        <f>IF(AND('Riesgos gestion'!$Z$59="Media",'Riesgos gestion'!$AB$59="Mayor"),CONCATENATE("R8C",'Riesgos gestion'!$P$59),"")</f>
        <v/>
      </c>
      <c r="AG33" s="54" t="str">
        <f>IF(AND('Riesgos gestion'!$Z$60="Media",'Riesgos gestion'!$AB$60="Mayor"),CONCATENATE("R8C",'Riesgos gestion'!$P$60),"")</f>
        <v/>
      </c>
      <c r="AH33" s="55" t="str">
        <f>IF(AND('Riesgos gestion'!$Z$55="Media",'Riesgos gestion'!$AB$55="Catastrófico"),CONCATENATE("R8C",'Riesgos gestion'!$P$55),"")</f>
        <v/>
      </c>
      <c r="AI33" s="56" t="str">
        <f>IF(AND('Riesgos gestion'!$Z$56="Media",'Riesgos gestion'!$AB$56="Catastrófico"),CONCATENATE("R8C",'Riesgos gestion'!$P$56),"")</f>
        <v/>
      </c>
      <c r="AJ33" s="56" t="str">
        <f>IF(AND('Riesgos gestion'!$Z$57="Media",'Riesgos gestion'!$AB$57="Catastrófico"),CONCATENATE("R8C",'Riesgos gestion'!$P$57),"")</f>
        <v/>
      </c>
      <c r="AK33" s="56" t="str">
        <f>IF(AND('Riesgos gestion'!$Z$58="Media",'Riesgos gestion'!$AB$58="Catastrófico"),CONCATENATE("R8C",'Riesgos gestion'!$P$58),"")</f>
        <v/>
      </c>
      <c r="AL33" s="56" t="str">
        <f>IF(AND('Riesgos gestion'!$Z$59="Media",'Riesgos gestion'!$AB$59="Catastrófico"),CONCATENATE("R8C",'Riesgos gestion'!$P$59),"")</f>
        <v/>
      </c>
      <c r="AM33" s="57" t="str">
        <f>IF(AND('Riesgos gestion'!$Z$60="Media",'Riesgos gestion'!$AB$60="Catastrófico"),CONCATENATE("R8C",'Riesgos gestion'!$P$60),"")</f>
        <v/>
      </c>
      <c r="AN33" s="83"/>
      <c r="AO33" s="652"/>
      <c r="AP33" s="653"/>
      <c r="AQ33" s="653"/>
      <c r="AR33" s="653"/>
      <c r="AS33" s="653"/>
      <c r="AT33" s="654"/>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3">
      <c r="A34" s="83"/>
      <c r="B34" s="571"/>
      <c r="C34" s="571"/>
      <c r="D34" s="572"/>
      <c r="E34" s="612"/>
      <c r="F34" s="613"/>
      <c r="G34" s="613"/>
      <c r="H34" s="613"/>
      <c r="I34" s="614"/>
      <c r="J34" s="67" t="str">
        <f>IF(AND('Riesgos gestion'!$Z$61="Media",'Riesgos gestion'!$AB$61="Leve"),CONCATENATE("R9C",'Riesgos gestion'!$P$61),"")</f>
        <v/>
      </c>
      <c r="K34" s="68" t="str">
        <f>IF(AND('Riesgos gestion'!$Z$62="Media",'Riesgos gestion'!$AB$62="Leve"),CONCATENATE("R9C",'Riesgos gestion'!$P$62),"")</f>
        <v/>
      </c>
      <c r="L34" s="68" t="str">
        <f>IF(AND('Riesgos gestion'!$Z$63="Media",'Riesgos gestion'!$AB$63="Leve"),CONCATENATE("R9C",'Riesgos gestion'!$P$63),"")</f>
        <v/>
      </c>
      <c r="M34" s="68" t="str">
        <f>IF(AND('Riesgos gestion'!$Z$64="Media",'Riesgos gestion'!$AB$64="Leve"),CONCATENATE("R9C",'Riesgos gestion'!$P$64),"")</f>
        <v/>
      </c>
      <c r="N34" s="68" t="str">
        <f>IF(AND('Riesgos gestion'!$Z$65="Media",'Riesgos gestion'!$AB$65="Leve"),CONCATENATE("R9C",'Riesgos gestion'!$P$65),"")</f>
        <v/>
      </c>
      <c r="O34" s="69" t="str">
        <f>IF(AND('Riesgos gestion'!$Z$66="Media",'Riesgos gestion'!$AB$66="Leve"),CONCATENATE("R9C",'Riesgos gestion'!$P$66),"")</f>
        <v/>
      </c>
      <c r="P34" s="67" t="str">
        <f>IF(AND('Riesgos gestion'!$Z$61="Media",'Riesgos gestion'!$AB$61="Menor"),CONCATENATE("R9C",'Riesgos gestion'!$P$61),"")</f>
        <v/>
      </c>
      <c r="Q34" s="68" t="str">
        <f>IF(AND('Riesgos gestion'!$Z$62="Media",'Riesgos gestion'!$AB$62="Menor"),CONCATENATE("R9C",'Riesgos gestion'!$P$62),"")</f>
        <v/>
      </c>
      <c r="R34" s="68" t="str">
        <f>IF(AND('Riesgos gestion'!$Z$63="Media",'Riesgos gestion'!$AB$63="Menor"),CONCATENATE("R9C",'Riesgos gestion'!$P$63),"")</f>
        <v/>
      </c>
      <c r="S34" s="68" t="str">
        <f>IF(AND('Riesgos gestion'!$Z$64="Media",'Riesgos gestion'!$AB$64="Menor"),CONCATENATE("R9C",'Riesgos gestion'!$P$64),"")</f>
        <v/>
      </c>
      <c r="T34" s="68" t="str">
        <f>IF(AND('Riesgos gestion'!$Z$65="Media",'Riesgos gestion'!$AB$65="Menor"),CONCATENATE("R9C",'Riesgos gestion'!$P$65),"")</f>
        <v/>
      </c>
      <c r="U34" s="69" t="str">
        <f>IF(AND('Riesgos gestion'!$Z$66="Media",'Riesgos gestion'!$AB$66="Menor"),CONCATENATE("R9C",'Riesgos gestion'!$P$66),"")</f>
        <v/>
      </c>
      <c r="V34" s="67" t="str">
        <f>IF(AND('Riesgos gestion'!$Z$61="Media",'Riesgos gestion'!$AB$61="Moderado"),CONCATENATE("R9C",'Riesgos gestion'!$P$61),"")</f>
        <v/>
      </c>
      <c r="W34" s="68" t="str">
        <f>IF(AND('Riesgos gestion'!$Z$62="Media",'Riesgos gestion'!$AB$62="Moderado"),CONCATENATE("R9C",'Riesgos gestion'!$P$62),"")</f>
        <v/>
      </c>
      <c r="X34" s="68" t="str">
        <f>IF(AND('Riesgos gestion'!$Z$63="Media",'Riesgos gestion'!$AB$63="Moderado"),CONCATENATE("R9C",'Riesgos gestion'!$P$63),"")</f>
        <v/>
      </c>
      <c r="Y34" s="68" t="str">
        <f>IF(AND('Riesgos gestion'!$Z$64="Media",'Riesgos gestion'!$AB$64="Moderado"),CONCATENATE("R9C",'Riesgos gestion'!$P$64),"")</f>
        <v/>
      </c>
      <c r="Z34" s="68" t="str">
        <f>IF(AND('Riesgos gestion'!$Z$65="Media",'Riesgos gestion'!$AB$65="Moderado"),CONCATENATE("R9C",'Riesgos gestion'!$P$65),"")</f>
        <v/>
      </c>
      <c r="AA34" s="69" t="str">
        <f>IF(AND('Riesgos gestion'!$Z$66="Media",'Riesgos gestion'!$AB$66="Moderado"),CONCATENATE("R9C",'Riesgos gestion'!$P$66),"")</f>
        <v/>
      </c>
      <c r="AB34" s="52" t="str">
        <f>IF(AND('Riesgos gestion'!$Z$61="Media",'Riesgos gestion'!$AB$61="Mayor"),CONCATENATE("R9C",'Riesgos gestion'!$P$61),"")</f>
        <v/>
      </c>
      <c r="AC34" s="53" t="str">
        <f>IF(AND('Riesgos gestion'!$Z$62="Media",'Riesgos gestion'!$AB$62="Mayor"),CONCATENATE("R9C",'Riesgos gestion'!$P$62),"")</f>
        <v/>
      </c>
      <c r="AD34" s="53" t="str">
        <f>IF(AND('Riesgos gestion'!$Z$63="Media",'Riesgos gestion'!$AB$63="Mayor"),CONCATENATE("R9C",'Riesgos gestion'!$P$63),"")</f>
        <v/>
      </c>
      <c r="AE34" s="53" t="str">
        <f>IF(AND('Riesgos gestion'!$Z$64="Media",'Riesgos gestion'!$AB$64="Mayor"),CONCATENATE("R9C",'Riesgos gestion'!$P$64),"")</f>
        <v/>
      </c>
      <c r="AF34" s="53" t="str">
        <f>IF(AND('Riesgos gestion'!$Z$65="Media",'Riesgos gestion'!$AB$65="Mayor"),CONCATENATE("R9C",'Riesgos gestion'!$P$65),"")</f>
        <v/>
      </c>
      <c r="AG34" s="54" t="str">
        <f>IF(AND('Riesgos gestion'!$Z$66="Media",'Riesgos gestion'!$AB$66="Mayor"),CONCATENATE("R9C",'Riesgos gestion'!$P$66),"")</f>
        <v/>
      </c>
      <c r="AH34" s="55" t="str">
        <f>IF(AND('Riesgos gestion'!$Z$61="Media",'Riesgos gestion'!$AB$61="Catastrófico"),CONCATENATE("R9C",'Riesgos gestion'!$P$61),"")</f>
        <v/>
      </c>
      <c r="AI34" s="56" t="str">
        <f>IF(AND('Riesgos gestion'!$Z$62="Media",'Riesgos gestion'!$AB$62="Catastrófico"),CONCATENATE("R9C",'Riesgos gestion'!$P$62),"")</f>
        <v/>
      </c>
      <c r="AJ34" s="56" t="str">
        <f>IF(AND('Riesgos gestion'!$Z$63="Media",'Riesgos gestion'!$AB$63="Catastrófico"),CONCATENATE("R9C",'Riesgos gestion'!$P$63),"")</f>
        <v/>
      </c>
      <c r="AK34" s="56" t="str">
        <f>IF(AND('Riesgos gestion'!$Z$64="Media",'Riesgos gestion'!$AB$64="Catastrófico"),CONCATENATE("R9C",'Riesgos gestion'!$P$64),"")</f>
        <v/>
      </c>
      <c r="AL34" s="56" t="str">
        <f>IF(AND('Riesgos gestion'!$Z$65="Media",'Riesgos gestion'!$AB$65="Catastrófico"),CONCATENATE("R9C",'Riesgos gestion'!$P$65),"")</f>
        <v/>
      </c>
      <c r="AM34" s="57" t="str">
        <f>IF(AND('Riesgos gestion'!$Z$66="Media",'Riesgos gestion'!$AB$66="Catastrófico"),CONCATENATE("R9C",'Riesgos gestion'!$P$66),"")</f>
        <v/>
      </c>
      <c r="AN34" s="83"/>
      <c r="AO34" s="652"/>
      <c r="AP34" s="653"/>
      <c r="AQ34" s="653"/>
      <c r="AR34" s="653"/>
      <c r="AS34" s="653"/>
      <c r="AT34" s="654"/>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5">
      <c r="A35" s="83"/>
      <c r="B35" s="571"/>
      <c r="C35" s="571"/>
      <c r="D35" s="572"/>
      <c r="E35" s="615"/>
      <c r="F35" s="616"/>
      <c r="G35" s="616"/>
      <c r="H35" s="616"/>
      <c r="I35" s="617"/>
      <c r="J35" s="67" t="str">
        <f>IF(AND('Riesgos gestion'!$Z$67="Media",'Riesgos gestion'!$AB$67="Leve"),CONCATENATE("R10C",'Riesgos gestion'!$P$67),"")</f>
        <v/>
      </c>
      <c r="K35" s="68" t="str">
        <f>IF(AND('Riesgos gestion'!$Z$68="Media",'Riesgos gestion'!$AB$68="Leve"),CONCATENATE("R10C",'Riesgos gestion'!$P$68),"")</f>
        <v/>
      </c>
      <c r="L35" s="68" t="str">
        <f>IF(AND('Riesgos gestion'!$Z$69="Media",'Riesgos gestion'!$AB$69="Leve"),CONCATENATE("R10C",'Riesgos gestion'!$P$69),"")</f>
        <v/>
      </c>
      <c r="M35" s="68" t="str">
        <f>IF(AND('Riesgos gestion'!$Z$70="Media",'Riesgos gestion'!$AB$70="Leve"),CONCATENATE("R10C",'Riesgos gestion'!$P$70),"")</f>
        <v/>
      </c>
      <c r="N35" s="68" t="str">
        <f>IF(AND('Riesgos gestion'!$Z$71="Media",'Riesgos gestion'!$AB$71="Leve"),CONCATENATE("R10C",'Riesgos gestion'!$P$71),"")</f>
        <v/>
      </c>
      <c r="O35" s="69" t="str">
        <f>IF(AND('Riesgos gestion'!$Z$72="Media",'Riesgos gestion'!$AB$72="Leve"),CONCATENATE("R10C",'Riesgos gestion'!$P$72),"")</f>
        <v/>
      </c>
      <c r="P35" s="67" t="str">
        <f>IF(AND('Riesgos gestion'!$Z$67="Media",'Riesgos gestion'!$AB$67="Menor"),CONCATENATE("R10C",'Riesgos gestion'!$P$67),"")</f>
        <v/>
      </c>
      <c r="Q35" s="68" t="str">
        <f>IF(AND('Riesgos gestion'!$Z$68="Media",'Riesgos gestion'!$AB$68="Menor"),CONCATENATE("R10C",'Riesgos gestion'!$P$68),"")</f>
        <v/>
      </c>
      <c r="R35" s="68" t="str">
        <f>IF(AND('Riesgos gestion'!$Z$69="Media",'Riesgos gestion'!$AB$69="Menor"),CONCATENATE("R10C",'Riesgos gestion'!$P$69),"")</f>
        <v/>
      </c>
      <c r="S35" s="68" t="str">
        <f>IF(AND('Riesgos gestion'!$Z$70="Media",'Riesgos gestion'!$AB$70="Menor"),CONCATENATE("R10C",'Riesgos gestion'!$P$70),"")</f>
        <v/>
      </c>
      <c r="T35" s="68" t="str">
        <f>IF(AND('Riesgos gestion'!$Z$71="Media",'Riesgos gestion'!$AB$71="Menor"),CONCATENATE("R10C",'Riesgos gestion'!$P$71),"")</f>
        <v/>
      </c>
      <c r="U35" s="69" t="str">
        <f>IF(AND('Riesgos gestion'!$Z$72="Media",'Riesgos gestion'!$AB$72="Menor"),CONCATENATE("R10C",'Riesgos gestion'!$P$72),"")</f>
        <v/>
      </c>
      <c r="V35" s="67" t="str">
        <f>IF(AND('Riesgos gestion'!$Z$67="Media",'Riesgos gestion'!$AB$67="Moderado"),CONCATENATE("R10C",'Riesgos gestion'!$P$67),"")</f>
        <v/>
      </c>
      <c r="W35" s="68" t="str">
        <f>IF(AND('Riesgos gestion'!$Z$68="Media",'Riesgos gestion'!$AB$68="Moderado"),CONCATENATE("R10C",'Riesgos gestion'!$P$68),"")</f>
        <v/>
      </c>
      <c r="X35" s="68" t="str">
        <f>IF(AND('Riesgos gestion'!$Z$69="Media",'Riesgos gestion'!$AB$69="Moderado"),CONCATENATE("R10C",'Riesgos gestion'!$P$69),"")</f>
        <v/>
      </c>
      <c r="Y35" s="68" t="str">
        <f>IF(AND('Riesgos gestion'!$Z$70="Media",'Riesgos gestion'!$AB$70="Moderado"),CONCATENATE("R10C",'Riesgos gestion'!$P$70),"")</f>
        <v/>
      </c>
      <c r="Z35" s="68" t="str">
        <f>IF(AND('Riesgos gestion'!$Z$71="Media",'Riesgos gestion'!$AB$71="Moderado"),CONCATENATE("R10C",'Riesgos gestion'!$P$71),"")</f>
        <v/>
      </c>
      <c r="AA35" s="69" t="str">
        <f>IF(AND('Riesgos gestion'!$Z$72="Media",'Riesgos gestion'!$AB$72="Moderado"),CONCATENATE("R10C",'Riesgos gestion'!$P$72),"")</f>
        <v/>
      </c>
      <c r="AB35" s="58" t="str">
        <f>IF(AND('Riesgos gestion'!$Z$67="Media",'Riesgos gestion'!$AB$67="Mayor"),CONCATENATE("R10C",'Riesgos gestion'!$P$67),"")</f>
        <v/>
      </c>
      <c r="AC35" s="59" t="str">
        <f>IF(AND('Riesgos gestion'!$Z$68="Media",'Riesgos gestion'!$AB$68="Mayor"),CONCATENATE("R10C",'Riesgos gestion'!$P$68),"")</f>
        <v/>
      </c>
      <c r="AD35" s="59" t="str">
        <f>IF(AND('Riesgos gestion'!$Z$69="Media",'Riesgos gestion'!$AB$69="Mayor"),CONCATENATE("R10C",'Riesgos gestion'!$P$69),"")</f>
        <v/>
      </c>
      <c r="AE35" s="59" t="str">
        <f>IF(AND('Riesgos gestion'!$Z$70="Media",'Riesgos gestion'!$AB$70="Mayor"),CONCATENATE("R10C",'Riesgos gestion'!$P$70),"")</f>
        <v/>
      </c>
      <c r="AF35" s="59" t="str">
        <f>IF(AND('Riesgos gestion'!$Z$71="Media",'Riesgos gestion'!$AB$71="Mayor"),CONCATENATE("R10C",'Riesgos gestion'!$P$71),"")</f>
        <v/>
      </c>
      <c r="AG35" s="60" t="str">
        <f>IF(AND('Riesgos gestion'!$Z$72="Media",'Riesgos gestion'!$AB$72="Mayor"),CONCATENATE("R10C",'Riesgos gestion'!$P$72),"")</f>
        <v/>
      </c>
      <c r="AH35" s="61" t="str">
        <f>IF(AND('Riesgos gestion'!$Z$67="Media",'Riesgos gestion'!$AB$67="Catastrófico"),CONCATENATE("R10C",'Riesgos gestion'!$P$67),"")</f>
        <v/>
      </c>
      <c r="AI35" s="62" t="str">
        <f>IF(AND('Riesgos gestion'!$Z$68="Media",'Riesgos gestion'!$AB$68="Catastrófico"),CONCATENATE("R10C",'Riesgos gestion'!$P$68),"")</f>
        <v/>
      </c>
      <c r="AJ35" s="62" t="str">
        <f>IF(AND('Riesgos gestion'!$Z$69="Media",'Riesgos gestion'!$AB$69="Catastrófico"),CONCATENATE("R10C",'Riesgos gestion'!$P$69),"")</f>
        <v/>
      </c>
      <c r="AK35" s="62" t="str">
        <f>IF(AND('Riesgos gestion'!$Z$70="Media",'Riesgos gestion'!$AB$70="Catastrófico"),CONCATENATE("R10C",'Riesgos gestion'!$P$70),"")</f>
        <v/>
      </c>
      <c r="AL35" s="62" t="str">
        <f>IF(AND('Riesgos gestion'!$Z$71="Media",'Riesgos gestion'!$AB$71="Catastrófico"),CONCATENATE("R10C",'Riesgos gestion'!$P$71),"")</f>
        <v/>
      </c>
      <c r="AM35" s="63" t="str">
        <f>IF(AND('Riesgos gestion'!$Z$72="Media",'Riesgos gestion'!$AB$72="Catastrófico"),CONCATENATE("R10C",'Riesgos gestion'!$P$72),"")</f>
        <v/>
      </c>
      <c r="AN35" s="83"/>
      <c r="AO35" s="655"/>
      <c r="AP35" s="656"/>
      <c r="AQ35" s="656"/>
      <c r="AR35" s="656"/>
      <c r="AS35" s="656"/>
      <c r="AT35" s="657"/>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3">
      <c r="A36" s="83"/>
      <c r="B36" s="571"/>
      <c r="C36" s="571"/>
      <c r="D36" s="572"/>
      <c r="E36" s="609" t="s">
        <v>322</v>
      </c>
      <c r="F36" s="610"/>
      <c r="G36" s="610"/>
      <c r="H36" s="610"/>
      <c r="I36" s="610"/>
      <c r="J36" s="73" t="str">
        <f>IF(AND('Riesgos gestion'!$Z$13="Baja",'Riesgos gestion'!$AB$13="Leve"),CONCATENATE("R1C",'Riesgos gestion'!$P$13),"")</f>
        <v/>
      </c>
      <c r="K36" s="74" t="str">
        <f>IF(AND('Riesgos gestion'!$Z$14="Baja",'Riesgos gestion'!$AB$14="Leve"),CONCATENATE("R1C",'Riesgos gestion'!$P$14),"")</f>
        <v/>
      </c>
      <c r="L36" s="74" t="str">
        <f>IF(AND('Riesgos gestion'!$Z$15="Baja",'Riesgos gestion'!$AB$15="Leve"),CONCATENATE("R1C",'Riesgos gestion'!$P$15),"")</f>
        <v/>
      </c>
      <c r="M36" s="74" t="str">
        <f>IF(AND('Riesgos gestion'!$Z$16="Baja",'Riesgos gestion'!$AB$16="Leve"),CONCATENATE("R1C",'Riesgos gestion'!$P$16),"")</f>
        <v/>
      </c>
      <c r="N36" s="74" t="str">
        <f>IF(AND('Riesgos gestion'!$Z$17="Baja",'Riesgos gestion'!$AB$17="Leve"),CONCATENATE("R1C",'Riesgos gestion'!$P$17),"")</f>
        <v/>
      </c>
      <c r="O36" s="75" t="e">
        <f>IF(AND('Riesgos gestion'!#REF!="Baja",'Riesgos gestion'!#REF!="Leve"),CONCATENATE("R1C",'Riesgos gestion'!#REF!),"")</f>
        <v>#REF!</v>
      </c>
      <c r="P36" s="64" t="str">
        <f>IF(AND('Riesgos gestion'!$Z$13="Baja",'Riesgos gestion'!$AB$13="Menor"),CONCATENATE("R1C",'Riesgos gestion'!$P$13),"")</f>
        <v/>
      </c>
      <c r="Q36" s="65" t="str">
        <f>IF(AND('Riesgos gestion'!$Z$14="Baja",'Riesgos gestion'!$AB$14="Menor"),CONCATENATE("R1C",'Riesgos gestion'!$P$14),"")</f>
        <v/>
      </c>
      <c r="R36" s="65" t="str">
        <f>IF(AND('Riesgos gestion'!$Z$15="Baja",'Riesgos gestion'!$AB$15="Menor"),CONCATENATE("R1C",'Riesgos gestion'!$P$15),"")</f>
        <v/>
      </c>
      <c r="S36" s="65" t="str">
        <f>IF(AND('Riesgos gestion'!$Z$16="Baja",'Riesgos gestion'!$AB$16="Menor"),CONCATENATE("R1C",'Riesgos gestion'!$P$16),"")</f>
        <v/>
      </c>
      <c r="T36" s="65" t="str">
        <f>IF(AND('Riesgos gestion'!$Z$17="Baja",'Riesgos gestion'!$AB$17="Menor"),CONCATENATE("R1C",'Riesgos gestion'!$P$17),"")</f>
        <v/>
      </c>
      <c r="U36" s="66" t="e">
        <f>IF(AND('Riesgos gestion'!#REF!="Baja",'Riesgos gestion'!#REF!="Menor"),CONCATENATE("R1C",'Riesgos gestion'!#REF!),"")</f>
        <v>#REF!</v>
      </c>
      <c r="V36" s="64" t="str">
        <f>IF(AND('Riesgos gestion'!$Z$13="Baja",'Riesgos gestion'!$AB$13="Moderado"),CONCATENATE("R1C",'Riesgos gestion'!$P$13),"")</f>
        <v/>
      </c>
      <c r="W36" s="65" t="str">
        <f>IF(AND('Riesgos gestion'!$Z$14="Baja",'Riesgos gestion'!$AB$14="Moderado"),CONCATENATE("R1C",'Riesgos gestion'!$P$14),"")</f>
        <v/>
      </c>
      <c r="X36" s="65" t="str">
        <f>IF(AND('Riesgos gestion'!$Z$15="Baja",'Riesgos gestion'!$AB$15="Moderado"),CONCATENATE("R1C",'Riesgos gestion'!$P$15),"")</f>
        <v/>
      </c>
      <c r="Y36" s="65" t="str">
        <f>IF(AND('Riesgos gestion'!$Z$16="Baja",'Riesgos gestion'!$AB$16="Moderado"),CONCATENATE("R1C",'Riesgos gestion'!$P$16),"")</f>
        <v/>
      </c>
      <c r="Z36" s="65" t="str">
        <f>IF(AND('Riesgos gestion'!$Z$17="Baja",'Riesgos gestion'!$AB$17="Moderado"),CONCATENATE("R1C",'Riesgos gestion'!$P$17),"")</f>
        <v/>
      </c>
      <c r="AA36" s="66" t="e">
        <f>IF(AND('Riesgos gestion'!#REF!="Baja",'Riesgos gestion'!#REF!="Moderado"),CONCATENATE("R1C",'Riesgos gestion'!#REF!),"")</f>
        <v>#REF!</v>
      </c>
      <c r="AB36" s="46" t="str">
        <f>IF(AND('Riesgos gestion'!$Z$13="Baja",'Riesgos gestion'!$AB$13="Mayor"),CONCATENATE("R1C",'Riesgos gestion'!$P$13),"")</f>
        <v/>
      </c>
      <c r="AC36" s="47" t="str">
        <f>IF(AND('Riesgos gestion'!$Z$14="Baja",'Riesgos gestion'!$AB$14="Mayor"),CONCATENATE("R1C",'Riesgos gestion'!$P$14),"")</f>
        <v/>
      </c>
      <c r="AD36" s="47" t="str">
        <f>IF(AND('Riesgos gestion'!$Z$15="Baja",'Riesgos gestion'!$AB$15="Mayor"),CONCATENATE("R1C",'Riesgos gestion'!$P$15),"")</f>
        <v/>
      </c>
      <c r="AE36" s="47" t="str">
        <f>IF(AND('Riesgos gestion'!$Z$16="Baja",'Riesgos gestion'!$AB$16="Mayor"),CONCATENATE("R1C",'Riesgos gestion'!$P$16),"")</f>
        <v/>
      </c>
      <c r="AF36" s="47" t="str">
        <f>IF(AND('Riesgos gestion'!$Z$17="Baja",'Riesgos gestion'!$AB$17="Mayor"),CONCATENATE("R1C",'Riesgos gestion'!$P$17),"")</f>
        <v/>
      </c>
      <c r="AG36" s="48" t="e">
        <f>IF(AND('Riesgos gestion'!#REF!="Baja",'Riesgos gestion'!#REF!="Mayor"),CONCATENATE("R1C",'Riesgos gestion'!#REF!),"")</f>
        <v>#REF!</v>
      </c>
      <c r="AH36" s="49" t="str">
        <f>IF(AND('Riesgos gestion'!$Z$13="Baja",'Riesgos gestion'!$AB$13="Catastrófico"),CONCATENATE("R1C",'Riesgos gestion'!$P$13),"")</f>
        <v/>
      </c>
      <c r="AI36" s="50" t="str">
        <f>IF(AND('Riesgos gestion'!$Z$14="Baja",'Riesgos gestion'!$AB$14="Catastrófico"),CONCATENATE("R1C",'Riesgos gestion'!$P$14),"")</f>
        <v/>
      </c>
      <c r="AJ36" s="50" t="str">
        <f>IF(AND('Riesgos gestion'!$Z$15="Baja",'Riesgos gestion'!$AB$15="Catastrófico"),CONCATENATE("R1C",'Riesgos gestion'!$P$15),"")</f>
        <v/>
      </c>
      <c r="AK36" s="50" t="str">
        <f>IF(AND('Riesgos gestion'!$Z$16="Baja",'Riesgos gestion'!$AB$16="Catastrófico"),CONCATENATE("R1C",'Riesgos gestion'!$P$16),"")</f>
        <v/>
      </c>
      <c r="AL36" s="50" t="str">
        <f>IF(AND('Riesgos gestion'!$Z$17="Baja",'Riesgos gestion'!$AB$17="Catastrófico"),CONCATENATE("R1C",'Riesgos gestion'!$P$17),"")</f>
        <v/>
      </c>
      <c r="AM36" s="51" t="e">
        <f>IF(AND('Riesgos gestion'!#REF!="Baja",'Riesgos gestion'!#REF!="Catastrófico"),CONCATENATE("R1C",'Riesgos gestion'!#REF!),"")</f>
        <v>#REF!</v>
      </c>
      <c r="AN36" s="83"/>
      <c r="AO36" s="640" t="s">
        <v>323</v>
      </c>
      <c r="AP36" s="641"/>
      <c r="AQ36" s="641"/>
      <c r="AR36" s="641"/>
      <c r="AS36" s="641"/>
      <c r="AT36" s="642"/>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3">
      <c r="A37" s="83"/>
      <c r="B37" s="571"/>
      <c r="C37" s="571"/>
      <c r="D37" s="572"/>
      <c r="E37" s="628"/>
      <c r="F37" s="613"/>
      <c r="G37" s="613"/>
      <c r="H37" s="613"/>
      <c r="I37" s="613"/>
      <c r="J37" s="76" t="str">
        <f>IF(AND('Riesgos gestion'!$Z$19="Baja",'Riesgos gestion'!$AB$19="Leve"),CONCATENATE("R2C",'Riesgos gestion'!$P$19),"")</f>
        <v/>
      </c>
      <c r="K37" s="77" t="str">
        <f>IF(AND('Riesgos gestion'!$Z$20="Baja",'Riesgos gestion'!$AB$20="Leve"),CONCATENATE("R2C",'Riesgos gestion'!$P$20),"")</f>
        <v/>
      </c>
      <c r="L37" s="77" t="str">
        <f>IF(AND('Riesgos gestion'!$Z$21="Baja",'Riesgos gestion'!$AB$21="Leve"),CONCATENATE("R2C",'Riesgos gestion'!$P$21),"")</f>
        <v/>
      </c>
      <c r="M37" s="77" t="str">
        <f>IF(AND('Riesgos gestion'!$Z$22="Baja",'Riesgos gestion'!$AB$22="Leve"),CONCATENATE("R2C",'Riesgos gestion'!$P$22),"")</f>
        <v/>
      </c>
      <c r="N37" s="77" t="str">
        <f>IF(AND('Riesgos gestion'!$Z$23="Baja",'Riesgos gestion'!$AB$23="Leve"),CONCATENATE("R2C",'Riesgos gestion'!$P$23),"")</f>
        <v/>
      </c>
      <c r="O37" s="78" t="str">
        <f>IF(AND('Riesgos gestion'!$Z$24="Baja",'Riesgos gestion'!$AB$24="Leve"),CONCATENATE("R2C",'Riesgos gestion'!$P$24),"")</f>
        <v/>
      </c>
      <c r="P37" s="67" t="str">
        <f>IF(AND('Riesgos gestion'!$Z$19="Baja",'Riesgos gestion'!$AB$19="Menor"),CONCATENATE("R2C",'Riesgos gestion'!$P$19),"")</f>
        <v/>
      </c>
      <c r="Q37" s="68" t="str">
        <f>IF(AND('Riesgos gestion'!$Z$20="Baja",'Riesgos gestion'!$AB$20="Menor"),CONCATENATE("R2C",'Riesgos gestion'!$P$20),"")</f>
        <v/>
      </c>
      <c r="R37" s="68" t="str">
        <f>IF(AND('Riesgos gestion'!$Z$21="Baja",'Riesgos gestion'!$AB$21="Menor"),CONCATENATE("R2C",'Riesgos gestion'!$P$21),"")</f>
        <v/>
      </c>
      <c r="S37" s="68" t="str">
        <f>IF(AND('Riesgos gestion'!$Z$22="Baja",'Riesgos gestion'!$AB$22="Menor"),CONCATENATE("R2C",'Riesgos gestion'!$P$22),"")</f>
        <v/>
      </c>
      <c r="T37" s="68" t="str">
        <f>IF(AND('Riesgos gestion'!$Z$23="Baja",'Riesgos gestion'!$AB$23="Menor"),CONCATENATE("R2C",'Riesgos gestion'!$P$23),"")</f>
        <v/>
      </c>
      <c r="U37" s="69" t="str">
        <f>IF(AND('Riesgos gestion'!$Z$24="Baja",'Riesgos gestion'!$AB$24="Menor"),CONCATENATE("R2C",'Riesgos gestion'!$P$24),"")</f>
        <v/>
      </c>
      <c r="V37" s="67" t="str">
        <f>IF(AND('Riesgos gestion'!$Z$19="Baja",'Riesgos gestion'!$AB$19="Moderado"),CONCATENATE("R2C",'Riesgos gestion'!$P$19),"")</f>
        <v/>
      </c>
      <c r="W37" s="68" t="str">
        <f>IF(AND('Riesgos gestion'!$Z$20="Baja",'Riesgos gestion'!$AB$20="Moderado"),CONCATENATE("R2C",'Riesgos gestion'!$P$20),"")</f>
        <v/>
      </c>
      <c r="X37" s="68" t="str">
        <f>IF(AND('Riesgos gestion'!$Z$21="Baja",'Riesgos gestion'!$AB$21="Moderado"),CONCATENATE("R2C",'Riesgos gestion'!$P$21),"")</f>
        <v/>
      </c>
      <c r="Y37" s="68" t="str">
        <f>IF(AND('Riesgos gestion'!$Z$22="Baja",'Riesgos gestion'!$AB$22="Moderado"),CONCATENATE("R2C",'Riesgos gestion'!$P$22),"")</f>
        <v/>
      </c>
      <c r="Z37" s="68" t="str">
        <f>IF(AND('Riesgos gestion'!$Z$23="Baja",'Riesgos gestion'!$AB$23="Moderado"),CONCATENATE("R2C",'Riesgos gestion'!$P$23),"")</f>
        <v/>
      </c>
      <c r="AA37" s="69" t="str">
        <f>IF(AND('Riesgos gestion'!$Z$24="Baja",'Riesgos gestion'!$AB$24="Moderado"),CONCATENATE("R2C",'Riesgos gestion'!$P$24),"")</f>
        <v/>
      </c>
      <c r="AB37" s="52" t="str">
        <f>IF(AND('Riesgos gestion'!$Z$19="Baja",'Riesgos gestion'!$AB$19="Mayor"),CONCATENATE("R2C",'Riesgos gestion'!$P$19),"")</f>
        <v/>
      </c>
      <c r="AC37" s="53" t="str">
        <f>IF(AND('Riesgos gestion'!$Z$20="Baja",'Riesgos gestion'!$AB$20="Mayor"),CONCATENATE("R2C",'Riesgos gestion'!$P$20),"")</f>
        <v/>
      </c>
      <c r="AD37" s="53" t="str">
        <f>IF(AND('Riesgos gestion'!$Z$21="Baja",'Riesgos gestion'!$AB$21="Mayor"),CONCATENATE("R2C",'Riesgos gestion'!$P$21),"")</f>
        <v/>
      </c>
      <c r="AE37" s="53" t="str">
        <f>IF(AND('Riesgos gestion'!$Z$22="Baja",'Riesgos gestion'!$AB$22="Mayor"),CONCATENATE("R2C",'Riesgos gestion'!$P$22),"")</f>
        <v/>
      </c>
      <c r="AF37" s="53" t="str">
        <f>IF(AND('Riesgos gestion'!$Z$23="Baja",'Riesgos gestion'!$AB$23="Mayor"),CONCATENATE("R2C",'Riesgos gestion'!$P$23),"")</f>
        <v/>
      </c>
      <c r="AG37" s="54" t="str">
        <f>IF(AND('Riesgos gestion'!$Z$24="Baja",'Riesgos gestion'!$AB$24="Mayor"),CONCATENATE("R2C",'Riesgos gestion'!$P$24),"")</f>
        <v/>
      </c>
      <c r="AH37" s="55" t="str">
        <f>IF(AND('Riesgos gestion'!$Z$19="Baja",'Riesgos gestion'!$AB$19="Catastrófico"),CONCATENATE("R2C",'Riesgos gestion'!$P$19),"")</f>
        <v/>
      </c>
      <c r="AI37" s="56" t="str">
        <f>IF(AND('Riesgos gestion'!$Z$20="Baja",'Riesgos gestion'!$AB$20="Catastrófico"),CONCATENATE("R2C",'Riesgos gestion'!$P$20),"")</f>
        <v/>
      </c>
      <c r="AJ37" s="56" t="str">
        <f>IF(AND('Riesgos gestion'!$Z$21="Baja",'Riesgos gestion'!$AB$21="Catastrófico"),CONCATENATE("R2C",'Riesgos gestion'!$P$21),"")</f>
        <v/>
      </c>
      <c r="AK37" s="56" t="str">
        <f>IF(AND('Riesgos gestion'!$Z$22="Baja",'Riesgos gestion'!$AB$22="Catastrófico"),CONCATENATE("R2C",'Riesgos gestion'!$P$22),"")</f>
        <v/>
      </c>
      <c r="AL37" s="56" t="str">
        <f>IF(AND('Riesgos gestion'!$Z$23="Baja",'Riesgos gestion'!$AB$23="Catastrófico"),CONCATENATE("R2C",'Riesgos gestion'!$P$23),"")</f>
        <v/>
      </c>
      <c r="AM37" s="57" t="str">
        <f>IF(AND('Riesgos gestion'!$Z$24="Baja",'Riesgos gestion'!$AB$24="Catastrófico"),CONCATENATE("R2C",'Riesgos gestion'!$P$24),"")</f>
        <v/>
      </c>
      <c r="AN37" s="83"/>
      <c r="AO37" s="643"/>
      <c r="AP37" s="644"/>
      <c r="AQ37" s="644"/>
      <c r="AR37" s="644"/>
      <c r="AS37" s="644"/>
      <c r="AT37" s="645"/>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3">
      <c r="A38" s="83"/>
      <c r="B38" s="571"/>
      <c r="C38" s="571"/>
      <c r="D38" s="572"/>
      <c r="E38" s="612"/>
      <c r="F38" s="613"/>
      <c r="G38" s="613"/>
      <c r="H38" s="613"/>
      <c r="I38" s="613"/>
      <c r="J38" s="76" t="str">
        <f>IF(AND('Riesgos gestion'!$Z$25="Baja",'Riesgos gestion'!$AB$25="Leve"),CONCATENATE("R3C",'Riesgos gestion'!$P$25),"")</f>
        <v/>
      </c>
      <c r="K38" s="77" t="str">
        <f>IF(AND('Riesgos gestion'!$Z$26="Baja",'Riesgos gestion'!$AB$26="Leve"),CONCATENATE("R3C",'Riesgos gestion'!$P$26),"")</f>
        <v/>
      </c>
      <c r="L38" s="77" t="str">
        <f>IF(AND('Riesgos gestion'!$Z$27="Baja",'Riesgos gestion'!$AB$27="Leve"),CONCATENATE("R3C",'Riesgos gestion'!$P$27),"")</f>
        <v/>
      </c>
      <c r="M38" s="77" t="str">
        <f>IF(AND('Riesgos gestion'!$Z$28="Baja",'Riesgos gestion'!$AB$28="Leve"),CONCATENATE("R3C",'Riesgos gestion'!$P$28),"")</f>
        <v/>
      </c>
      <c r="N38" s="77" t="str">
        <f>IF(AND('Riesgos gestion'!$Z$29="Baja",'Riesgos gestion'!$AB$29="Leve"),CONCATENATE("R3C",'Riesgos gestion'!$P$29),"")</f>
        <v/>
      </c>
      <c r="O38" s="78" t="str">
        <f>IF(AND('Riesgos gestion'!$Z$30="Baja",'Riesgos gestion'!$AB$30="Leve"),CONCATENATE("R3C",'Riesgos gestion'!$P$30),"")</f>
        <v/>
      </c>
      <c r="P38" s="67" t="str">
        <f>IF(AND('Riesgos gestion'!$Z$25="Baja",'Riesgos gestion'!$AB$25="Menor"),CONCATENATE("R3C",'Riesgos gestion'!$P$25),"")</f>
        <v/>
      </c>
      <c r="Q38" s="68" t="str">
        <f>IF(AND('Riesgos gestion'!$Z$26="Baja",'Riesgos gestion'!$AB$26="Menor"),CONCATENATE("R3C",'Riesgos gestion'!$P$26),"")</f>
        <v/>
      </c>
      <c r="R38" s="68" t="str">
        <f>IF(AND('Riesgos gestion'!$Z$27="Baja",'Riesgos gestion'!$AB$27="Menor"),CONCATENATE("R3C",'Riesgos gestion'!$P$27),"")</f>
        <v/>
      </c>
      <c r="S38" s="68" t="str">
        <f>IF(AND('Riesgos gestion'!$Z$28="Baja",'Riesgos gestion'!$AB$28="Menor"),CONCATENATE("R3C",'Riesgos gestion'!$P$28),"")</f>
        <v/>
      </c>
      <c r="T38" s="68" t="str">
        <f>IF(AND('Riesgos gestion'!$Z$29="Baja",'Riesgos gestion'!$AB$29="Menor"),CONCATENATE("R3C",'Riesgos gestion'!$P$29),"")</f>
        <v/>
      </c>
      <c r="U38" s="69" t="str">
        <f>IF(AND('Riesgos gestion'!$Z$30="Baja",'Riesgos gestion'!$AB$30="Menor"),CONCATENATE("R3C",'Riesgos gestion'!$P$30),"")</f>
        <v/>
      </c>
      <c r="V38" s="67" t="str">
        <f>IF(AND('Riesgos gestion'!$Z$25="Baja",'Riesgos gestion'!$AB$25="Moderado"),CONCATENATE("R3C",'Riesgos gestion'!$P$25),"")</f>
        <v/>
      </c>
      <c r="W38" s="68" t="str">
        <f>IF(AND('Riesgos gestion'!$Z$26="Baja",'Riesgos gestion'!$AB$26="Moderado"),CONCATENATE("R3C",'Riesgos gestion'!$P$26),"")</f>
        <v/>
      </c>
      <c r="X38" s="68" t="str">
        <f>IF(AND('Riesgos gestion'!$Z$27="Baja",'Riesgos gestion'!$AB$27="Moderado"),CONCATENATE("R3C",'Riesgos gestion'!$P$27),"")</f>
        <v/>
      </c>
      <c r="Y38" s="68" t="str">
        <f>IF(AND('Riesgos gestion'!$Z$28="Baja",'Riesgos gestion'!$AB$28="Moderado"),CONCATENATE("R3C",'Riesgos gestion'!$P$28),"")</f>
        <v/>
      </c>
      <c r="Z38" s="68" t="str">
        <f>IF(AND('Riesgos gestion'!$Z$29="Baja",'Riesgos gestion'!$AB$29="Moderado"),CONCATENATE("R3C",'Riesgos gestion'!$P$29),"")</f>
        <v/>
      </c>
      <c r="AA38" s="69" t="str">
        <f>IF(AND('Riesgos gestion'!$Z$30="Baja",'Riesgos gestion'!$AB$30="Moderado"),CONCATENATE("R3C",'Riesgos gestion'!$P$30),"")</f>
        <v/>
      </c>
      <c r="AB38" s="52" t="str">
        <f>IF(AND('Riesgos gestion'!$Z$25="Baja",'Riesgos gestion'!$AB$25="Mayor"),CONCATENATE("R3C",'Riesgos gestion'!$P$25),"")</f>
        <v/>
      </c>
      <c r="AC38" s="53" t="str">
        <f>IF(AND('Riesgos gestion'!$Z$26="Baja",'Riesgos gestion'!$AB$26="Mayor"),CONCATENATE("R3C",'Riesgos gestion'!$P$26),"")</f>
        <v/>
      </c>
      <c r="AD38" s="53" t="str">
        <f>IF(AND('Riesgos gestion'!$Z$27="Baja",'Riesgos gestion'!$AB$27="Mayor"),CONCATENATE("R3C",'Riesgos gestion'!$P$27),"")</f>
        <v/>
      </c>
      <c r="AE38" s="53" t="str">
        <f>IF(AND('Riesgos gestion'!$Z$28="Baja",'Riesgos gestion'!$AB$28="Mayor"),CONCATENATE("R3C",'Riesgos gestion'!$P$28),"")</f>
        <v/>
      </c>
      <c r="AF38" s="53" t="str">
        <f>IF(AND('Riesgos gestion'!$Z$29="Baja",'Riesgos gestion'!$AB$29="Mayor"),CONCATENATE("R3C",'Riesgos gestion'!$P$29),"")</f>
        <v/>
      </c>
      <c r="AG38" s="54" t="str">
        <f>IF(AND('Riesgos gestion'!$Z$30="Baja",'Riesgos gestion'!$AB$30="Mayor"),CONCATENATE("R3C",'Riesgos gestion'!$P$30),"")</f>
        <v/>
      </c>
      <c r="AH38" s="55" t="str">
        <f>IF(AND('Riesgos gestion'!$Z$25="Baja",'Riesgos gestion'!$AB$25="Catastrófico"),CONCATENATE("R3C",'Riesgos gestion'!$P$25),"")</f>
        <v/>
      </c>
      <c r="AI38" s="56" t="str">
        <f>IF(AND('Riesgos gestion'!$Z$26="Baja",'Riesgos gestion'!$AB$26="Catastrófico"),CONCATENATE("R3C",'Riesgos gestion'!$P$26),"")</f>
        <v/>
      </c>
      <c r="AJ38" s="56" t="str">
        <f>IF(AND('Riesgos gestion'!$Z$27="Baja",'Riesgos gestion'!$AB$27="Catastrófico"),CONCATENATE("R3C",'Riesgos gestion'!$P$27),"")</f>
        <v/>
      </c>
      <c r="AK38" s="56" t="str">
        <f>IF(AND('Riesgos gestion'!$Z$28="Baja",'Riesgos gestion'!$AB$28="Catastrófico"),CONCATENATE("R3C",'Riesgos gestion'!$P$28),"")</f>
        <v/>
      </c>
      <c r="AL38" s="56" t="str">
        <f>IF(AND('Riesgos gestion'!$Z$29="Baja",'Riesgos gestion'!$AB$29="Catastrófico"),CONCATENATE("R3C",'Riesgos gestion'!$P$29),"")</f>
        <v/>
      </c>
      <c r="AM38" s="57" t="str">
        <f>IF(AND('Riesgos gestion'!$Z$30="Baja",'Riesgos gestion'!$AB$30="Catastrófico"),CONCATENATE("R3C",'Riesgos gestion'!$P$30),"")</f>
        <v/>
      </c>
      <c r="AN38" s="83"/>
      <c r="AO38" s="643"/>
      <c r="AP38" s="644"/>
      <c r="AQ38" s="644"/>
      <c r="AR38" s="644"/>
      <c r="AS38" s="644"/>
      <c r="AT38" s="645"/>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3">
      <c r="A39" s="83"/>
      <c r="B39" s="571"/>
      <c r="C39" s="571"/>
      <c r="D39" s="572"/>
      <c r="E39" s="612"/>
      <c r="F39" s="613"/>
      <c r="G39" s="613"/>
      <c r="H39" s="613"/>
      <c r="I39" s="613"/>
      <c r="J39" s="76" t="str">
        <f>IF(AND('Riesgos gestion'!$Z$31="Baja",'Riesgos gestion'!$AB$31="Leve"),CONCATENATE("R4C",'Riesgos gestion'!$P$31),"")</f>
        <v/>
      </c>
      <c r="K39" s="77" t="str">
        <f>IF(AND('Riesgos gestion'!$Z$32="Baja",'Riesgos gestion'!$AB$32="Leve"),CONCATENATE("R4C",'Riesgos gestion'!$P$32),"")</f>
        <v/>
      </c>
      <c r="L39" s="77" t="str">
        <f>IF(AND('Riesgos gestion'!$Z$33="Baja",'Riesgos gestion'!$AB$33="Leve"),CONCATENATE("R4C",'Riesgos gestion'!$P$33),"")</f>
        <v/>
      </c>
      <c r="M39" s="77" t="str">
        <f>IF(AND('Riesgos gestion'!$Z$34="Baja",'Riesgos gestion'!$AB$34="Leve"),CONCATENATE("R4C",'Riesgos gestion'!$P$34),"")</f>
        <v/>
      </c>
      <c r="N39" s="77" t="str">
        <f>IF(AND('Riesgos gestion'!$Z$35="Baja",'Riesgos gestion'!$AB$35="Leve"),CONCATENATE("R4C",'Riesgos gestion'!$P$35),"")</f>
        <v/>
      </c>
      <c r="O39" s="78" t="str">
        <f>IF(AND('Riesgos gestion'!$Z$36="Baja",'Riesgos gestion'!$AB$36="Leve"),CONCATENATE("R4C",'Riesgos gestion'!$P$36),"")</f>
        <v/>
      </c>
      <c r="P39" s="67" t="str">
        <f>IF(AND('Riesgos gestion'!$Z$31="Baja",'Riesgos gestion'!$AB$31="Menor"),CONCATENATE("R4C",'Riesgos gestion'!$P$31),"")</f>
        <v/>
      </c>
      <c r="Q39" s="68" t="str">
        <f>IF(AND('Riesgos gestion'!$Z$32="Baja",'Riesgos gestion'!$AB$32="Menor"),CONCATENATE("R4C",'Riesgos gestion'!$P$32),"")</f>
        <v/>
      </c>
      <c r="R39" s="68" t="str">
        <f>IF(AND('Riesgos gestion'!$Z$33="Baja",'Riesgos gestion'!$AB$33="Menor"),CONCATENATE("R4C",'Riesgos gestion'!$P$33),"")</f>
        <v/>
      </c>
      <c r="S39" s="68" t="str">
        <f>IF(AND('Riesgos gestion'!$Z$34="Baja",'Riesgos gestion'!$AB$34="Menor"),CONCATENATE("R4C",'Riesgos gestion'!$P$34),"")</f>
        <v/>
      </c>
      <c r="T39" s="68" t="str">
        <f>IF(AND('Riesgos gestion'!$Z$35="Baja",'Riesgos gestion'!$AB$35="Menor"),CONCATENATE("R4C",'Riesgos gestion'!$P$35),"")</f>
        <v/>
      </c>
      <c r="U39" s="69" t="str">
        <f>IF(AND('Riesgos gestion'!$Z$36="Baja",'Riesgos gestion'!$AB$36="Menor"),CONCATENATE("R4C",'Riesgos gestion'!$P$36),"")</f>
        <v/>
      </c>
      <c r="V39" s="67" t="str">
        <f>IF(AND('Riesgos gestion'!$Z$31="Baja",'Riesgos gestion'!$AB$31="Moderado"),CONCATENATE("R4C",'Riesgos gestion'!$P$31),"")</f>
        <v/>
      </c>
      <c r="W39" s="68" t="str">
        <f>IF(AND('Riesgos gestion'!$Z$32="Baja",'Riesgos gestion'!$AB$32="Moderado"),CONCATENATE("R4C",'Riesgos gestion'!$P$32),"")</f>
        <v/>
      </c>
      <c r="X39" s="68" t="str">
        <f>IF(AND('Riesgos gestion'!$Z$33="Baja",'Riesgos gestion'!$AB$33="Moderado"),CONCATENATE("R4C",'Riesgos gestion'!$P$33),"")</f>
        <v/>
      </c>
      <c r="Y39" s="68" t="str">
        <f>IF(AND('Riesgos gestion'!$Z$34="Baja",'Riesgos gestion'!$AB$34="Moderado"),CONCATENATE("R4C",'Riesgos gestion'!$P$34),"")</f>
        <v/>
      </c>
      <c r="Z39" s="68" t="str">
        <f>IF(AND('Riesgos gestion'!$Z$35="Baja",'Riesgos gestion'!$AB$35="Moderado"),CONCATENATE("R4C",'Riesgos gestion'!$P$35),"")</f>
        <v/>
      </c>
      <c r="AA39" s="69" t="str">
        <f>IF(AND('Riesgos gestion'!$Z$36="Baja",'Riesgos gestion'!$AB$36="Moderado"),CONCATENATE("R4C",'Riesgos gestion'!$P$36),"")</f>
        <v/>
      </c>
      <c r="AB39" s="52" t="str">
        <f>IF(AND('Riesgos gestion'!$Z$31="Baja",'Riesgos gestion'!$AB$31="Mayor"),CONCATENATE("R4C",'Riesgos gestion'!$P$31),"")</f>
        <v/>
      </c>
      <c r="AC39" s="53" t="str">
        <f>IF(AND('Riesgos gestion'!$Z$32="Baja",'Riesgos gestion'!$AB$32="Mayor"),CONCATENATE("R4C",'Riesgos gestion'!$P$32),"")</f>
        <v/>
      </c>
      <c r="AD39" s="53" t="str">
        <f>IF(AND('Riesgos gestion'!$Z$33="Baja",'Riesgos gestion'!$AB$33="Mayor"),CONCATENATE("R4C",'Riesgos gestion'!$P$33),"")</f>
        <v/>
      </c>
      <c r="AE39" s="53" t="str">
        <f>IF(AND('Riesgos gestion'!$Z$34="Baja",'Riesgos gestion'!$AB$34="Mayor"),CONCATENATE("R4C",'Riesgos gestion'!$P$34),"")</f>
        <v/>
      </c>
      <c r="AF39" s="53" t="str">
        <f>IF(AND('Riesgos gestion'!$Z$35="Baja",'Riesgos gestion'!$AB$35="Mayor"),CONCATENATE("R4C",'Riesgos gestion'!$P$35),"")</f>
        <v/>
      </c>
      <c r="AG39" s="54" t="str">
        <f>IF(AND('Riesgos gestion'!$Z$36="Baja",'Riesgos gestion'!$AB$36="Mayor"),CONCATENATE("R4C",'Riesgos gestion'!$P$36),"")</f>
        <v/>
      </c>
      <c r="AH39" s="55" t="str">
        <f>IF(AND('Riesgos gestion'!$Z$31="Baja",'Riesgos gestion'!$AB$31="Catastrófico"),CONCATENATE("R4C",'Riesgos gestion'!$P$31),"")</f>
        <v/>
      </c>
      <c r="AI39" s="56" t="str">
        <f>IF(AND('Riesgos gestion'!$Z$32="Baja",'Riesgos gestion'!$AB$32="Catastrófico"),CONCATENATE("R4C",'Riesgos gestion'!$P$32),"")</f>
        <v/>
      </c>
      <c r="AJ39" s="56" t="str">
        <f>IF(AND('Riesgos gestion'!$Z$33="Baja",'Riesgos gestion'!$AB$33="Catastrófico"),CONCATENATE("R4C",'Riesgos gestion'!$P$33),"")</f>
        <v/>
      </c>
      <c r="AK39" s="56" t="str">
        <f>IF(AND('Riesgos gestion'!$Z$34="Baja",'Riesgos gestion'!$AB$34="Catastrófico"),CONCATENATE("R4C",'Riesgos gestion'!$P$34),"")</f>
        <v/>
      </c>
      <c r="AL39" s="56" t="str">
        <f>IF(AND('Riesgos gestion'!$Z$35="Baja",'Riesgos gestion'!$AB$35="Catastrófico"),CONCATENATE("R4C",'Riesgos gestion'!$P$35),"")</f>
        <v/>
      </c>
      <c r="AM39" s="57" t="str">
        <f>IF(AND('Riesgos gestion'!$Z$36="Baja",'Riesgos gestion'!$AB$36="Catastrófico"),CONCATENATE("R4C",'Riesgos gestion'!$P$36),"")</f>
        <v/>
      </c>
      <c r="AN39" s="83"/>
      <c r="AO39" s="643"/>
      <c r="AP39" s="644"/>
      <c r="AQ39" s="644"/>
      <c r="AR39" s="644"/>
      <c r="AS39" s="644"/>
      <c r="AT39" s="645"/>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3">
      <c r="A40" s="83"/>
      <c r="B40" s="571"/>
      <c r="C40" s="571"/>
      <c r="D40" s="572"/>
      <c r="E40" s="612"/>
      <c r="F40" s="613"/>
      <c r="G40" s="613"/>
      <c r="H40" s="613"/>
      <c r="I40" s="613"/>
      <c r="J40" s="76" t="str">
        <f>IF(AND('Riesgos gestion'!$Z$37="Baja",'Riesgos gestion'!$AB$37="Leve"),CONCATENATE("R5C",'Riesgos gestion'!$P$37),"")</f>
        <v/>
      </c>
      <c r="K40" s="77" t="str">
        <f>IF(AND('Riesgos gestion'!$Z$38="Baja",'Riesgos gestion'!$AB$38="Leve"),CONCATENATE("R5C",'Riesgos gestion'!$P$38),"")</f>
        <v/>
      </c>
      <c r="L40" s="77" t="str">
        <f>IF(AND('Riesgos gestion'!$Z$39="Baja",'Riesgos gestion'!$AB$39="Leve"),CONCATENATE("R5C",'Riesgos gestion'!$P$39),"")</f>
        <v/>
      </c>
      <c r="M40" s="77" t="str">
        <f>IF(AND('Riesgos gestion'!$Z$40="Baja",'Riesgos gestion'!$AB$40="Leve"),CONCATENATE("R5C",'Riesgos gestion'!$P$40),"")</f>
        <v/>
      </c>
      <c r="N40" s="77" t="str">
        <f>IF(AND('Riesgos gestion'!$Z$41="Baja",'Riesgos gestion'!$AB$41="Leve"),CONCATENATE("R5C",'Riesgos gestion'!$P$41),"")</f>
        <v/>
      </c>
      <c r="O40" s="78" t="str">
        <f>IF(AND('Riesgos gestion'!$Z$42="Baja",'Riesgos gestion'!$AB$42="Leve"),CONCATENATE("R5C",'Riesgos gestion'!$P$42),"")</f>
        <v/>
      </c>
      <c r="P40" s="67" t="str">
        <f>IF(AND('Riesgos gestion'!$Z$37="Baja",'Riesgos gestion'!$AB$37="Menor"),CONCATENATE("R5C",'Riesgos gestion'!$P$37),"")</f>
        <v/>
      </c>
      <c r="Q40" s="68" t="str">
        <f>IF(AND('Riesgos gestion'!$Z$38="Baja",'Riesgos gestion'!$AB$38="Menor"),CONCATENATE("R5C",'Riesgos gestion'!$P$38),"")</f>
        <v/>
      </c>
      <c r="R40" s="68" t="str">
        <f>IF(AND('Riesgos gestion'!$Z$39="Baja",'Riesgos gestion'!$AB$39="Menor"),CONCATENATE("R5C",'Riesgos gestion'!$P$39),"")</f>
        <v/>
      </c>
      <c r="S40" s="68" t="str">
        <f>IF(AND('Riesgos gestion'!$Z$40="Baja",'Riesgos gestion'!$AB$40="Menor"),CONCATENATE("R5C",'Riesgos gestion'!$P$40),"")</f>
        <v/>
      </c>
      <c r="T40" s="68" t="str">
        <f>IF(AND('Riesgos gestion'!$Z$41="Baja",'Riesgos gestion'!$AB$41="Menor"),CONCATENATE("R5C",'Riesgos gestion'!$P$41),"")</f>
        <v/>
      </c>
      <c r="U40" s="69" t="str">
        <f>IF(AND('Riesgos gestion'!$Z$42="Baja",'Riesgos gestion'!$AB$42="Menor"),CONCATENATE("R5C",'Riesgos gestion'!$P$42),"")</f>
        <v/>
      </c>
      <c r="V40" s="67" t="str">
        <f>IF(AND('Riesgos gestion'!$Z$37="Baja",'Riesgos gestion'!$AB$37="Moderado"),CONCATENATE("R5C",'Riesgos gestion'!$P$37),"")</f>
        <v/>
      </c>
      <c r="W40" s="68" t="str">
        <f>IF(AND('Riesgos gestion'!$Z$38="Baja",'Riesgos gestion'!$AB$38="Moderado"),CONCATENATE("R5C",'Riesgos gestion'!$P$38),"")</f>
        <v/>
      </c>
      <c r="X40" s="68" t="str">
        <f>IF(AND('Riesgos gestion'!$Z$39="Baja",'Riesgos gestion'!$AB$39="Moderado"),CONCATENATE("R5C",'Riesgos gestion'!$P$39),"")</f>
        <v/>
      </c>
      <c r="Y40" s="68" t="str">
        <f>IF(AND('Riesgos gestion'!$Z$40="Baja",'Riesgos gestion'!$AB$40="Moderado"),CONCATENATE("R5C",'Riesgos gestion'!$P$40),"")</f>
        <v/>
      </c>
      <c r="Z40" s="68" t="str">
        <f>IF(AND('Riesgos gestion'!$Z$41="Baja",'Riesgos gestion'!$AB$41="Moderado"),CONCATENATE("R5C",'Riesgos gestion'!$P$41),"")</f>
        <v/>
      </c>
      <c r="AA40" s="69" t="str">
        <f>IF(AND('Riesgos gestion'!$Z$42="Baja",'Riesgos gestion'!$AB$42="Moderado"),CONCATENATE("R5C",'Riesgos gestion'!$P$42),"")</f>
        <v/>
      </c>
      <c r="AB40" s="52" t="str">
        <f>IF(AND('Riesgos gestion'!$Z$37="Baja",'Riesgos gestion'!$AB$37="Mayor"),CONCATENATE("R5C",'Riesgos gestion'!$P$37),"")</f>
        <v/>
      </c>
      <c r="AC40" s="53" t="str">
        <f>IF(AND('Riesgos gestion'!$Z$38="Baja",'Riesgos gestion'!$AB$38="Mayor"),CONCATENATE("R5C",'Riesgos gestion'!$P$38),"")</f>
        <v/>
      </c>
      <c r="AD40" s="53" t="str">
        <f>IF(AND('Riesgos gestion'!$Z$39="Baja",'Riesgos gestion'!$AB$39="Mayor"),CONCATENATE("R5C",'Riesgos gestion'!$P$39),"")</f>
        <v/>
      </c>
      <c r="AE40" s="53" t="str">
        <f>IF(AND('Riesgos gestion'!$Z$40="Baja",'Riesgos gestion'!$AB$40="Mayor"),CONCATENATE("R5C",'Riesgos gestion'!$P$40),"")</f>
        <v/>
      </c>
      <c r="AF40" s="53" t="str">
        <f>IF(AND('Riesgos gestion'!$Z$41="Baja",'Riesgos gestion'!$AB$41="Mayor"),CONCATENATE("R5C",'Riesgos gestion'!$P$41),"")</f>
        <v/>
      </c>
      <c r="AG40" s="54" t="str">
        <f>IF(AND('Riesgos gestion'!$Z$42="Baja",'Riesgos gestion'!$AB$42="Mayor"),CONCATENATE("R5C",'Riesgos gestion'!$P$42),"")</f>
        <v/>
      </c>
      <c r="AH40" s="55" t="str">
        <f>IF(AND('Riesgos gestion'!$Z$37="Baja",'Riesgos gestion'!$AB$37="Catastrófico"),CONCATENATE("R5C",'Riesgos gestion'!$P$37),"")</f>
        <v/>
      </c>
      <c r="AI40" s="56" t="str">
        <f>IF(AND('Riesgos gestion'!$Z$38="Baja",'Riesgos gestion'!$AB$38="Catastrófico"),CONCATENATE("R5C",'Riesgos gestion'!$P$38),"")</f>
        <v/>
      </c>
      <c r="AJ40" s="56" t="str">
        <f>IF(AND('Riesgos gestion'!$Z$39="Baja",'Riesgos gestion'!$AB$39="Catastrófico"),CONCATENATE("R5C",'Riesgos gestion'!$P$39),"")</f>
        <v/>
      </c>
      <c r="AK40" s="56" t="str">
        <f>IF(AND('Riesgos gestion'!$Z$40="Baja",'Riesgos gestion'!$AB$40="Catastrófico"),CONCATENATE("R5C",'Riesgos gestion'!$P$40),"")</f>
        <v/>
      </c>
      <c r="AL40" s="56" t="str">
        <f>IF(AND('Riesgos gestion'!$Z$41="Baja",'Riesgos gestion'!$AB$41="Catastrófico"),CONCATENATE("R5C",'Riesgos gestion'!$P$41),"")</f>
        <v/>
      </c>
      <c r="AM40" s="57" t="str">
        <f>IF(AND('Riesgos gestion'!$Z$42="Baja",'Riesgos gestion'!$AB$42="Catastrófico"),CONCATENATE("R5C",'Riesgos gestion'!$P$42),"")</f>
        <v/>
      </c>
      <c r="AN40" s="83"/>
      <c r="AO40" s="643"/>
      <c r="AP40" s="644"/>
      <c r="AQ40" s="644"/>
      <c r="AR40" s="644"/>
      <c r="AS40" s="644"/>
      <c r="AT40" s="645"/>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3">
      <c r="A41" s="83"/>
      <c r="B41" s="571"/>
      <c r="C41" s="571"/>
      <c r="D41" s="572"/>
      <c r="E41" s="612"/>
      <c r="F41" s="613"/>
      <c r="G41" s="613"/>
      <c r="H41" s="613"/>
      <c r="I41" s="613"/>
      <c r="J41" s="76" t="str">
        <f>IF(AND('Riesgos gestion'!$Z$43="Baja",'Riesgos gestion'!$AB$43="Leve"),CONCATENATE("R6C",'Riesgos gestion'!$P$43),"")</f>
        <v/>
      </c>
      <c r="K41" s="77" t="str">
        <f>IF(AND('Riesgos gestion'!$Z$44="Baja",'Riesgos gestion'!$AB$44="Leve"),CONCATENATE("R6C",'Riesgos gestion'!$P$44),"")</f>
        <v/>
      </c>
      <c r="L41" s="77" t="str">
        <f>IF(AND('Riesgos gestion'!$Z$45="Baja",'Riesgos gestion'!$AB$45="Leve"),CONCATENATE("R6C",'Riesgos gestion'!$P$45),"")</f>
        <v/>
      </c>
      <c r="M41" s="77" t="str">
        <f>IF(AND('Riesgos gestion'!$Z$46="Baja",'Riesgos gestion'!$AB$46="Leve"),CONCATENATE("R6C",'Riesgos gestion'!$P$46),"")</f>
        <v/>
      </c>
      <c r="N41" s="77" t="str">
        <f>IF(AND('Riesgos gestion'!$Z$47="Baja",'Riesgos gestion'!$AB$47="Leve"),CONCATENATE("R6C",'Riesgos gestion'!$P$47),"")</f>
        <v/>
      </c>
      <c r="O41" s="78" t="str">
        <f>IF(AND('Riesgos gestion'!$Z$48="Baja",'Riesgos gestion'!$AB$48="Leve"),CONCATENATE("R6C",'Riesgos gestion'!$P$48),"")</f>
        <v/>
      </c>
      <c r="P41" s="67" t="str">
        <f>IF(AND('Riesgos gestion'!$Z$43="Baja",'Riesgos gestion'!$AB$43="Menor"),CONCATENATE("R6C",'Riesgos gestion'!$P$43),"")</f>
        <v/>
      </c>
      <c r="Q41" s="68" t="str">
        <f>IF(AND('Riesgos gestion'!$Z$44="Baja",'Riesgos gestion'!$AB$44="Menor"),CONCATENATE("R6C",'Riesgos gestion'!$P$44),"")</f>
        <v/>
      </c>
      <c r="R41" s="68" t="str">
        <f>IF(AND('Riesgos gestion'!$Z$45="Baja",'Riesgos gestion'!$AB$45="Menor"),CONCATENATE("R6C",'Riesgos gestion'!$P$45),"")</f>
        <v/>
      </c>
      <c r="S41" s="68" t="str">
        <f>IF(AND('Riesgos gestion'!$Z$46="Baja",'Riesgos gestion'!$AB$46="Menor"),CONCATENATE("R6C",'Riesgos gestion'!$P$46),"")</f>
        <v/>
      </c>
      <c r="T41" s="68" t="str">
        <f>IF(AND('Riesgos gestion'!$Z$47="Baja",'Riesgos gestion'!$AB$47="Menor"),CONCATENATE("R6C",'Riesgos gestion'!$P$47),"")</f>
        <v/>
      </c>
      <c r="U41" s="69" t="str">
        <f>IF(AND('Riesgos gestion'!$Z$48="Baja",'Riesgos gestion'!$AB$48="Menor"),CONCATENATE("R6C",'Riesgos gestion'!$P$48),"")</f>
        <v/>
      </c>
      <c r="V41" s="67" t="str">
        <f>IF(AND('Riesgos gestion'!$Z$43="Baja",'Riesgos gestion'!$AB$43="Moderado"),CONCATENATE("R6C",'Riesgos gestion'!$P$43),"")</f>
        <v/>
      </c>
      <c r="W41" s="68" t="str">
        <f>IF(AND('Riesgos gestion'!$Z$44="Baja",'Riesgos gestion'!$AB$44="Moderado"),CONCATENATE("R6C",'Riesgos gestion'!$P$44),"")</f>
        <v/>
      </c>
      <c r="X41" s="68" t="str">
        <f>IF(AND('Riesgos gestion'!$Z$45="Baja",'Riesgos gestion'!$AB$45="Moderado"),CONCATENATE("R6C",'Riesgos gestion'!$P$45),"")</f>
        <v/>
      </c>
      <c r="Y41" s="68" t="str">
        <f>IF(AND('Riesgos gestion'!$Z$46="Baja",'Riesgos gestion'!$AB$46="Moderado"),CONCATENATE("R6C",'Riesgos gestion'!$P$46),"")</f>
        <v/>
      </c>
      <c r="Z41" s="68" t="str">
        <f>IF(AND('Riesgos gestion'!$Z$47="Baja",'Riesgos gestion'!$AB$47="Moderado"),CONCATENATE("R6C",'Riesgos gestion'!$P$47),"")</f>
        <v/>
      </c>
      <c r="AA41" s="69" t="str">
        <f>IF(AND('Riesgos gestion'!$Z$48="Baja",'Riesgos gestion'!$AB$48="Moderado"),CONCATENATE("R6C",'Riesgos gestion'!$P$48),"")</f>
        <v/>
      </c>
      <c r="AB41" s="52" t="str">
        <f>IF(AND('Riesgos gestion'!$Z$43="Baja",'Riesgos gestion'!$AB$43="Mayor"),CONCATENATE("R6C",'Riesgos gestion'!$P$43),"")</f>
        <v/>
      </c>
      <c r="AC41" s="53" t="str">
        <f>IF(AND('Riesgos gestion'!$Z$44="Baja",'Riesgos gestion'!$AB$44="Mayor"),CONCATENATE("R6C",'Riesgos gestion'!$P$44),"")</f>
        <v/>
      </c>
      <c r="AD41" s="53" t="str">
        <f>IF(AND('Riesgos gestion'!$Z$45="Baja",'Riesgos gestion'!$AB$45="Mayor"),CONCATENATE("R6C",'Riesgos gestion'!$P$45),"")</f>
        <v/>
      </c>
      <c r="AE41" s="53" t="str">
        <f>IF(AND('Riesgos gestion'!$Z$46="Baja",'Riesgos gestion'!$AB$46="Mayor"),CONCATENATE("R6C",'Riesgos gestion'!$P$46),"")</f>
        <v/>
      </c>
      <c r="AF41" s="53" t="str">
        <f>IF(AND('Riesgos gestion'!$Z$47="Baja",'Riesgos gestion'!$AB$47="Mayor"),CONCATENATE("R6C",'Riesgos gestion'!$P$47),"")</f>
        <v/>
      </c>
      <c r="AG41" s="54" t="str">
        <f>IF(AND('Riesgos gestion'!$Z$48="Baja",'Riesgos gestion'!$AB$48="Mayor"),CONCATENATE("R6C",'Riesgos gestion'!$P$48),"")</f>
        <v/>
      </c>
      <c r="AH41" s="55" t="str">
        <f>IF(AND('Riesgos gestion'!$Z$43="Baja",'Riesgos gestion'!$AB$43="Catastrófico"),CONCATENATE("R6C",'Riesgos gestion'!$P$43),"")</f>
        <v/>
      </c>
      <c r="AI41" s="56" t="str">
        <f>IF(AND('Riesgos gestion'!$Z$44="Baja",'Riesgos gestion'!$AB$44="Catastrófico"),CONCATENATE("R6C",'Riesgos gestion'!$P$44),"")</f>
        <v/>
      </c>
      <c r="AJ41" s="56" t="str">
        <f>IF(AND('Riesgos gestion'!$Z$45="Baja",'Riesgos gestion'!$AB$45="Catastrófico"),CONCATENATE("R6C",'Riesgos gestion'!$P$45),"")</f>
        <v/>
      </c>
      <c r="AK41" s="56" t="str">
        <f>IF(AND('Riesgos gestion'!$Z$46="Baja",'Riesgos gestion'!$AB$46="Catastrófico"),CONCATENATE("R6C",'Riesgos gestion'!$P$46),"")</f>
        <v/>
      </c>
      <c r="AL41" s="56" t="str">
        <f>IF(AND('Riesgos gestion'!$Z$47="Baja",'Riesgos gestion'!$AB$47="Catastrófico"),CONCATENATE("R6C",'Riesgos gestion'!$P$47),"")</f>
        <v/>
      </c>
      <c r="AM41" s="57" t="str">
        <f>IF(AND('Riesgos gestion'!$Z$48="Baja",'Riesgos gestion'!$AB$48="Catastrófico"),CONCATENATE("R6C",'Riesgos gestion'!$P$48),"")</f>
        <v/>
      </c>
      <c r="AN41" s="83"/>
      <c r="AO41" s="643"/>
      <c r="AP41" s="644"/>
      <c r="AQ41" s="644"/>
      <c r="AR41" s="644"/>
      <c r="AS41" s="644"/>
      <c r="AT41" s="645"/>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3">
      <c r="A42" s="83"/>
      <c r="B42" s="571"/>
      <c r="C42" s="571"/>
      <c r="D42" s="572"/>
      <c r="E42" s="612"/>
      <c r="F42" s="613"/>
      <c r="G42" s="613"/>
      <c r="H42" s="613"/>
      <c r="I42" s="613"/>
      <c r="J42" s="76" t="str">
        <f>IF(AND('Riesgos gestion'!$Z$49="Baja",'Riesgos gestion'!$AB$49="Leve"),CONCATENATE("R7C",'Riesgos gestion'!$P$49),"")</f>
        <v/>
      </c>
      <c r="K42" s="77" t="str">
        <f>IF(AND('Riesgos gestion'!$Z$50="Baja",'Riesgos gestion'!$AB$50="Leve"),CONCATENATE("R7C",'Riesgos gestion'!$P$50),"")</f>
        <v/>
      </c>
      <c r="L42" s="77" t="str">
        <f>IF(AND('Riesgos gestion'!$Z$51="Baja",'Riesgos gestion'!$AB$51="Leve"),CONCATENATE("R7C",'Riesgos gestion'!$P$51),"")</f>
        <v/>
      </c>
      <c r="M42" s="77" t="str">
        <f>IF(AND('Riesgos gestion'!$Z$52="Baja",'Riesgos gestion'!$AB$52="Leve"),CONCATENATE("R7C",'Riesgos gestion'!$P$52),"")</f>
        <v/>
      </c>
      <c r="N42" s="77" t="str">
        <f>IF(AND('Riesgos gestion'!$Z$53="Baja",'Riesgos gestion'!$AB$53="Leve"),CONCATENATE("R7C",'Riesgos gestion'!$P$53),"")</f>
        <v/>
      </c>
      <c r="O42" s="78" t="str">
        <f>IF(AND('Riesgos gestion'!$Z$54="Baja",'Riesgos gestion'!$AB$54="Leve"),CONCATENATE("R7C",'Riesgos gestion'!$P$54),"")</f>
        <v/>
      </c>
      <c r="P42" s="67" t="str">
        <f>IF(AND('Riesgos gestion'!$Z$49="Baja",'Riesgos gestion'!$AB$49="Menor"),CONCATENATE("R7C",'Riesgos gestion'!$P$49),"")</f>
        <v/>
      </c>
      <c r="Q42" s="68" t="str">
        <f>IF(AND('Riesgos gestion'!$Z$50="Baja",'Riesgos gestion'!$AB$50="Menor"),CONCATENATE("R7C",'Riesgos gestion'!$P$50),"")</f>
        <v/>
      </c>
      <c r="R42" s="68" t="str">
        <f>IF(AND('Riesgos gestion'!$Z$51="Baja",'Riesgos gestion'!$AB$51="Menor"),CONCATENATE("R7C",'Riesgos gestion'!$P$51),"")</f>
        <v/>
      </c>
      <c r="S42" s="68" t="str">
        <f>IF(AND('Riesgos gestion'!$Z$52="Baja",'Riesgos gestion'!$AB$52="Menor"),CONCATENATE("R7C",'Riesgos gestion'!$P$52),"")</f>
        <v/>
      </c>
      <c r="T42" s="68" t="str">
        <f>IF(AND('Riesgos gestion'!$Z$53="Baja",'Riesgos gestion'!$AB$53="Menor"),CONCATENATE("R7C",'Riesgos gestion'!$P$53),"")</f>
        <v/>
      </c>
      <c r="U42" s="69" t="str">
        <f>IF(AND('Riesgos gestion'!$Z$54="Baja",'Riesgos gestion'!$AB$54="Menor"),CONCATENATE("R7C",'Riesgos gestion'!$P$54),"")</f>
        <v/>
      </c>
      <c r="V42" s="67" t="str">
        <f>IF(AND('Riesgos gestion'!$Z$49="Baja",'Riesgos gestion'!$AB$49="Moderado"),CONCATENATE("R7C",'Riesgos gestion'!$P$49),"")</f>
        <v/>
      </c>
      <c r="W42" s="68" t="str">
        <f>IF(AND('Riesgos gestion'!$Z$50="Baja",'Riesgos gestion'!$AB$50="Moderado"),CONCATENATE("R7C",'Riesgos gestion'!$P$50),"")</f>
        <v/>
      </c>
      <c r="X42" s="68" t="str">
        <f>IF(AND('Riesgos gestion'!$Z$51="Baja",'Riesgos gestion'!$AB$51="Moderado"),CONCATENATE("R7C",'Riesgos gestion'!$P$51),"")</f>
        <v/>
      </c>
      <c r="Y42" s="68" t="str">
        <f>IF(AND('Riesgos gestion'!$Z$52="Baja",'Riesgos gestion'!$AB$52="Moderado"),CONCATENATE("R7C",'Riesgos gestion'!$P$52),"")</f>
        <v/>
      </c>
      <c r="Z42" s="68" t="str">
        <f>IF(AND('Riesgos gestion'!$Z$53="Baja",'Riesgos gestion'!$AB$53="Moderado"),CONCATENATE("R7C",'Riesgos gestion'!$P$53),"")</f>
        <v/>
      </c>
      <c r="AA42" s="69" t="str">
        <f>IF(AND('Riesgos gestion'!$Z$54="Baja",'Riesgos gestion'!$AB$54="Moderado"),CONCATENATE("R7C",'Riesgos gestion'!$P$54),"")</f>
        <v/>
      </c>
      <c r="AB42" s="52" t="str">
        <f>IF(AND('Riesgos gestion'!$Z$49="Baja",'Riesgos gestion'!$AB$49="Mayor"),CONCATENATE("R7C",'Riesgos gestion'!$P$49),"")</f>
        <v/>
      </c>
      <c r="AC42" s="53" t="str">
        <f>IF(AND('Riesgos gestion'!$Z$50="Baja",'Riesgos gestion'!$AB$50="Mayor"),CONCATENATE("R7C",'Riesgos gestion'!$P$50),"")</f>
        <v/>
      </c>
      <c r="AD42" s="53" t="str">
        <f>IF(AND('Riesgos gestion'!$Z$51="Baja",'Riesgos gestion'!$AB$51="Mayor"),CONCATENATE("R7C",'Riesgos gestion'!$P$51),"")</f>
        <v/>
      </c>
      <c r="AE42" s="53" t="str">
        <f>IF(AND('Riesgos gestion'!$Z$52="Baja",'Riesgos gestion'!$AB$52="Mayor"),CONCATENATE("R7C",'Riesgos gestion'!$P$52),"")</f>
        <v/>
      </c>
      <c r="AF42" s="53" t="str">
        <f>IF(AND('Riesgos gestion'!$Z$53="Baja",'Riesgos gestion'!$AB$53="Mayor"),CONCATENATE("R7C",'Riesgos gestion'!$P$53),"")</f>
        <v/>
      </c>
      <c r="AG42" s="54" t="str">
        <f>IF(AND('Riesgos gestion'!$Z$54="Baja",'Riesgos gestion'!$AB$54="Mayor"),CONCATENATE("R7C",'Riesgos gestion'!$P$54),"")</f>
        <v/>
      </c>
      <c r="AH42" s="55" t="str">
        <f>IF(AND('Riesgos gestion'!$Z$49="Baja",'Riesgos gestion'!$AB$49="Catastrófico"),CONCATENATE("R7C",'Riesgos gestion'!$P$49),"")</f>
        <v/>
      </c>
      <c r="AI42" s="56" t="str">
        <f>IF(AND('Riesgos gestion'!$Z$50="Baja",'Riesgos gestion'!$AB$50="Catastrófico"),CONCATENATE("R7C",'Riesgos gestion'!$P$50),"")</f>
        <v/>
      </c>
      <c r="AJ42" s="56" t="str">
        <f>IF(AND('Riesgos gestion'!$Z$51="Baja",'Riesgos gestion'!$AB$51="Catastrófico"),CONCATENATE("R7C",'Riesgos gestion'!$P$51),"")</f>
        <v/>
      </c>
      <c r="AK42" s="56" t="str">
        <f>IF(AND('Riesgos gestion'!$Z$52="Baja",'Riesgos gestion'!$AB$52="Catastrófico"),CONCATENATE("R7C",'Riesgos gestion'!$P$52),"")</f>
        <v/>
      </c>
      <c r="AL42" s="56" t="str">
        <f>IF(AND('Riesgos gestion'!$Z$53="Baja",'Riesgos gestion'!$AB$53="Catastrófico"),CONCATENATE("R7C",'Riesgos gestion'!$P$53),"")</f>
        <v/>
      </c>
      <c r="AM42" s="57" t="str">
        <f>IF(AND('Riesgos gestion'!$Z$54="Baja",'Riesgos gestion'!$AB$54="Catastrófico"),CONCATENATE("R7C",'Riesgos gestion'!$P$54),"")</f>
        <v/>
      </c>
      <c r="AN42" s="83"/>
      <c r="AO42" s="643"/>
      <c r="AP42" s="644"/>
      <c r="AQ42" s="644"/>
      <c r="AR42" s="644"/>
      <c r="AS42" s="644"/>
      <c r="AT42" s="645"/>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3">
      <c r="A43" s="83"/>
      <c r="B43" s="571"/>
      <c r="C43" s="571"/>
      <c r="D43" s="572"/>
      <c r="E43" s="612"/>
      <c r="F43" s="613"/>
      <c r="G43" s="613"/>
      <c r="H43" s="613"/>
      <c r="I43" s="613"/>
      <c r="J43" s="76" t="str">
        <f>IF(AND('Riesgos gestion'!$Z$55="Baja",'Riesgos gestion'!$AB$55="Leve"),CONCATENATE("R8C",'Riesgos gestion'!$P$55),"")</f>
        <v/>
      </c>
      <c r="K43" s="77" t="str">
        <f>IF(AND('Riesgos gestion'!$Z$56="Baja",'Riesgos gestion'!$AB$56="Leve"),CONCATENATE("R8C",'Riesgos gestion'!$P$56),"")</f>
        <v/>
      </c>
      <c r="L43" s="77" t="str">
        <f>IF(AND('Riesgos gestion'!$Z$57="Baja",'Riesgos gestion'!$AB$57="Leve"),CONCATENATE("R8C",'Riesgos gestion'!$P$57),"")</f>
        <v/>
      </c>
      <c r="M43" s="77" t="str">
        <f>IF(AND('Riesgos gestion'!$Z$58="Baja",'Riesgos gestion'!$AB$58="Leve"),CONCATENATE("R8C",'Riesgos gestion'!$P$58),"")</f>
        <v/>
      </c>
      <c r="N43" s="77" t="str">
        <f>IF(AND('Riesgos gestion'!$Z$59="Baja",'Riesgos gestion'!$AB$59="Leve"),CONCATENATE("R8C",'Riesgos gestion'!$P$59),"")</f>
        <v/>
      </c>
      <c r="O43" s="78" t="str">
        <f>IF(AND('Riesgos gestion'!$Z$60="Baja",'Riesgos gestion'!$AB$60="Leve"),CONCATENATE("R8C",'Riesgos gestion'!$P$60),"")</f>
        <v/>
      </c>
      <c r="P43" s="67" t="str">
        <f>IF(AND('Riesgos gestion'!$Z$55="Baja",'Riesgos gestion'!$AB$55="Menor"),CONCATENATE("R8C",'Riesgos gestion'!$P$55),"")</f>
        <v/>
      </c>
      <c r="Q43" s="68" t="str">
        <f>IF(AND('Riesgos gestion'!$Z$56="Baja",'Riesgos gestion'!$AB$56="Menor"),CONCATENATE("R8C",'Riesgos gestion'!$P$56),"")</f>
        <v/>
      </c>
      <c r="R43" s="68" t="str">
        <f>IF(AND('Riesgos gestion'!$Z$57="Baja",'Riesgos gestion'!$AB$57="Menor"),CONCATENATE("R8C",'Riesgos gestion'!$P$57),"")</f>
        <v/>
      </c>
      <c r="S43" s="68" t="str">
        <f>IF(AND('Riesgos gestion'!$Z$58="Baja",'Riesgos gestion'!$AB$58="Menor"),CONCATENATE("R8C",'Riesgos gestion'!$P$58),"")</f>
        <v/>
      </c>
      <c r="T43" s="68" t="str">
        <f>IF(AND('Riesgos gestion'!$Z$59="Baja",'Riesgos gestion'!$AB$59="Menor"),CONCATENATE("R8C",'Riesgos gestion'!$P$59),"")</f>
        <v/>
      </c>
      <c r="U43" s="69" t="str">
        <f>IF(AND('Riesgos gestion'!$Z$60="Baja",'Riesgos gestion'!$AB$60="Menor"),CONCATENATE("R8C",'Riesgos gestion'!$P$60),"")</f>
        <v/>
      </c>
      <c r="V43" s="67" t="str">
        <f>IF(AND('Riesgos gestion'!$Z$55="Baja",'Riesgos gestion'!$AB$55="Moderado"),CONCATENATE("R8C",'Riesgos gestion'!$P$55),"")</f>
        <v/>
      </c>
      <c r="W43" s="68" t="str">
        <f>IF(AND('Riesgos gestion'!$Z$56="Baja",'Riesgos gestion'!$AB$56="Moderado"),CONCATENATE("R8C",'Riesgos gestion'!$P$56),"")</f>
        <v/>
      </c>
      <c r="X43" s="68" t="str">
        <f>IF(AND('Riesgos gestion'!$Z$57="Baja",'Riesgos gestion'!$AB$57="Moderado"),CONCATENATE("R8C",'Riesgos gestion'!$P$57),"")</f>
        <v/>
      </c>
      <c r="Y43" s="68" t="str">
        <f>IF(AND('Riesgos gestion'!$Z$58="Baja",'Riesgos gestion'!$AB$58="Moderado"),CONCATENATE("R8C",'Riesgos gestion'!$P$58),"")</f>
        <v/>
      </c>
      <c r="Z43" s="68" t="str">
        <f>IF(AND('Riesgos gestion'!$Z$59="Baja",'Riesgos gestion'!$AB$59="Moderado"),CONCATENATE("R8C",'Riesgos gestion'!$P$59),"")</f>
        <v/>
      </c>
      <c r="AA43" s="69" t="str">
        <f>IF(AND('Riesgos gestion'!$Z$60="Baja",'Riesgos gestion'!$AB$60="Moderado"),CONCATENATE("R8C",'Riesgos gestion'!$P$60),"")</f>
        <v/>
      </c>
      <c r="AB43" s="52" t="str">
        <f>IF(AND('Riesgos gestion'!$Z$55="Baja",'Riesgos gestion'!$AB$55="Mayor"),CONCATENATE("R8C",'Riesgos gestion'!$P$55),"")</f>
        <v/>
      </c>
      <c r="AC43" s="53" t="str">
        <f>IF(AND('Riesgos gestion'!$Z$56="Baja",'Riesgos gestion'!$AB$56="Mayor"),CONCATENATE("R8C",'Riesgos gestion'!$P$56),"")</f>
        <v/>
      </c>
      <c r="AD43" s="53" t="str">
        <f>IF(AND('Riesgos gestion'!$Z$57="Baja",'Riesgos gestion'!$AB$57="Mayor"),CONCATENATE("R8C",'Riesgos gestion'!$P$57),"")</f>
        <v/>
      </c>
      <c r="AE43" s="53" t="str">
        <f>IF(AND('Riesgos gestion'!$Z$58="Baja",'Riesgos gestion'!$AB$58="Mayor"),CONCATENATE("R8C",'Riesgos gestion'!$P$58),"")</f>
        <v/>
      </c>
      <c r="AF43" s="53" t="str">
        <f>IF(AND('Riesgos gestion'!$Z$59="Baja",'Riesgos gestion'!$AB$59="Mayor"),CONCATENATE("R8C",'Riesgos gestion'!$P$59),"")</f>
        <v/>
      </c>
      <c r="AG43" s="54" t="str">
        <f>IF(AND('Riesgos gestion'!$Z$60="Baja",'Riesgos gestion'!$AB$60="Mayor"),CONCATENATE("R8C",'Riesgos gestion'!$P$60),"")</f>
        <v/>
      </c>
      <c r="AH43" s="55" t="str">
        <f>IF(AND('Riesgos gestion'!$Z$55="Baja",'Riesgos gestion'!$AB$55="Catastrófico"),CONCATENATE("R8C",'Riesgos gestion'!$P$55),"")</f>
        <v/>
      </c>
      <c r="AI43" s="56" t="str">
        <f>IF(AND('Riesgos gestion'!$Z$56="Baja",'Riesgos gestion'!$AB$56="Catastrófico"),CONCATENATE("R8C",'Riesgos gestion'!$P$56),"")</f>
        <v/>
      </c>
      <c r="AJ43" s="56" t="str">
        <f>IF(AND('Riesgos gestion'!$Z$57="Baja",'Riesgos gestion'!$AB$57="Catastrófico"),CONCATENATE("R8C",'Riesgos gestion'!$P$57),"")</f>
        <v/>
      </c>
      <c r="AK43" s="56" t="str">
        <f>IF(AND('Riesgos gestion'!$Z$58="Baja",'Riesgos gestion'!$AB$58="Catastrófico"),CONCATENATE("R8C",'Riesgos gestion'!$P$58),"")</f>
        <v/>
      </c>
      <c r="AL43" s="56" t="str">
        <f>IF(AND('Riesgos gestion'!$Z$59="Baja",'Riesgos gestion'!$AB$59="Catastrófico"),CONCATENATE("R8C",'Riesgos gestion'!$P$59),"")</f>
        <v/>
      </c>
      <c r="AM43" s="57" t="str">
        <f>IF(AND('Riesgos gestion'!$Z$60="Baja",'Riesgos gestion'!$AB$60="Catastrófico"),CONCATENATE("R8C",'Riesgos gestion'!$P$60),"")</f>
        <v/>
      </c>
      <c r="AN43" s="83"/>
      <c r="AO43" s="643"/>
      <c r="AP43" s="644"/>
      <c r="AQ43" s="644"/>
      <c r="AR43" s="644"/>
      <c r="AS43" s="644"/>
      <c r="AT43" s="645"/>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3">
      <c r="A44" s="83"/>
      <c r="B44" s="571"/>
      <c r="C44" s="571"/>
      <c r="D44" s="572"/>
      <c r="E44" s="612"/>
      <c r="F44" s="613"/>
      <c r="G44" s="613"/>
      <c r="H44" s="613"/>
      <c r="I44" s="613"/>
      <c r="J44" s="76" t="str">
        <f>IF(AND('Riesgos gestion'!$Z$61="Baja",'Riesgos gestion'!$AB$61="Leve"),CONCATENATE("R9C",'Riesgos gestion'!$P$61),"")</f>
        <v/>
      </c>
      <c r="K44" s="77" t="str">
        <f>IF(AND('Riesgos gestion'!$Z$62="Baja",'Riesgos gestion'!$AB$62="Leve"),CONCATENATE("R9C",'Riesgos gestion'!$P$62),"")</f>
        <v/>
      </c>
      <c r="L44" s="77" t="str">
        <f>IF(AND('Riesgos gestion'!$Z$63="Baja",'Riesgos gestion'!$AB$63="Leve"),CONCATENATE("R9C",'Riesgos gestion'!$P$63),"")</f>
        <v/>
      </c>
      <c r="M44" s="77" t="str">
        <f>IF(AND('Riesgos gestion'!$Z$64="Baja",'Riesgos gestion'!$AB$64="Leve"),CONCATENATE("R9C",'Riesgos gestion'!$P$64),"")</f>
        <v/>
      </c>
      <c r="N44" s="77" t="str">
        <f>IF(AND('Riesgos gestion'!$Z$65="Baja",'Riesgos gestion'!$AB$65="Leve"),CONCATENATE("R9C",'Riesgos gestion'!$P$65),"")</f>
        <v/>
      </c>
      <c r="O44" s="78" t="str">
        <f>IF(AND('Riesgos gestion'!$Z$66="Baja",'Riesgos gestion'!$AB$66="Leve"),CONCATENATE("R9C",'Riesgos gestion'!$P$66),"")</f>
        <v/>
      </c>
      <c r="P44" s="67" t="str">
        <f>IF(AND('Riesgos gestion'!$Z$61="Baja",'Riesgos gestion'!$AB$61="Menor"),CONCATENATE("R9C",'Riesgos gestion'!$P$61),"")</f>
        <v/>
      </c>
      <c r="Q44" s="68" t="str">
        <f>IF(AND('Riesgos gestion'!$Z$62="Baja",'Riesgos gestion'!$AB$62="Menor"),CONCATENATE("R9C",'Riesgos gestion'!$P$62),"")</f>
        <v/>
      </c>
      <c r="R44" s="68" t="str">
        <f>IF(AND('Riesgos gestion'!$Z$63="Baja",'Riesgos gestion'!$AB$63="Menor"),CONCATENATE("R9C",'Riesgos gestion'!$P$63),"")</f>
        <v/>
      </c>
      <c r="S44" s="68" t="str">
        <f>IF(AND('Riesgos gestion'!$Z$64="Baja",'Riesgos gestion'!$AB$64="Menor"),CONCATENATE("R9C",'Riesgos gestion'!$P$64),"")</f>
        <v/>
      </c>
      <c r="T44" s="68" t="str">
        <f>IF(AND('Riesgos gestion'!$Z$65="Baja",'Riesgos gestion'!$AB$65="Menor"),CONCATENATE("R9C",'Riesgos gestion'!$P$65),"")</f>
        <v/>
      </c>
      <c r="U44" s="69" t="str">
        <f>IF(AND('Riesgos gestion'!$Z$66="Baja",'Riesgos gestion'!$AB$66="Menor"),CONCATENATE("R9C",'Riesgos gestion'!$P$66),"")</f>
        <v/>
      </c>
      <c r="V44" s="67" t="str">
        <f>IF(AND('Riesgos gestion'!$Z$61="Baja",'Riesgos gestion'!$AB$61="Moderado"),CONCATENATE("R9C",'Riesgos gestion'!$P$61),"")</f>
        <v/>
      </c>
      <c r="W44" s="68" t="str">
        <f>IF(AND('Riesgos gestion'!$Z$62="Baja",'Riesgos gestion'!$AB$62="Moderado"),CONCATENATE("R9C",'Riesgos gestion'!$P$62),"")</f>
        <v/>
      </c>
      <c r="X44" s="68" t="str">
        <f>IF(AND('Riesgos gestion'!$Z$63="Baja",'Riesgos gestion'!$AB$63="Moderado"),CONCATENATE("R9C",'Riesgos gestion'!$P$63),"")</f>
        <v/>
      </c>
      <c r="Y44" s="68" t="str">
        <f>IF(AND('Riesgos gestion'!$Z$64="Baja",'Riesgos gestion'!$AB$64="Moderado"),CONCATENATE("R9C",'Riesgos gestion'!$P$64),"")</f>
        <v/>
      </c>
      <c r="Z44" s="68" t="str">
        <f>IF(AND('Riesgos gestion'!$Z$65="Baja",'Riesgos gestion'!$AB$65="Moderado"),CONCATENATE("R9C",'Riesgos gestion'!$P$65),"")</f>
        <v/>
      </c>
      <c r="AA44" s="69" t="str">
        <f>IF(AND('Riesgos gestion'!$Z$66="Baja",'Riesgos gestion'!$AB$66="Moderado"),CONCATENATE("R9C",'Riesgos gestion'!$P$66),"")</f>
        <v/>
      </c>
      <c r="AB44" s="52" t="str">
        <f>IF(AND('Riesgos gestion'!$Z$61="Baja",'Riesgos gestion'!$AB$61="Mayor"),CONCATENATE("R9C",'Riesgos gestion'!$P$61),"")</f>
        <v/>
      </c>
      <c r="AC44" s="53" t="str">
        <f>IF(AND('Riesgos gestion'!$Z$62="Baja",'Riesgos gestion'!$AB$62="Mayor"),CONCATENATE("R9C",'Riesgos gestion'!$P$62),"")</f>
        <v/>
      </c>
      <c r="AD44" s="53" t="str">
        <f>IF(AND('Riesgos gestion'!$Z$63="Baja",'Riesgos gestion'!$AB$63="Mayor"),CONCATENATE("R9C",'Riesgos gestion'!$P$63),"")</f>
        <v/>
      </c>
      <c r="AE44" s="53" t="str">
        <f>IF(AND('Riesgos gestion'!$Z$64="Baja",'Riesgos gestion'!$AB$64="Mayor"),CONCATENATE("R9C",'Riesgos gestion'!$P$64),"")</f>
        <v/>
      </c>
      <c r="AF44" s="53" t="str">
        <f>IF(AND('Riesgos gestion'!$Z$65="Baja",'Riesgos gestion'!$AB$65="Mayor"),CONCATENATE("R9C",'Riesgos gestion'!$P$65),"")</f>
        <v/>
      </c>
      <c r="AG44" s="54" t="str">
        <f>IF(AND('Riesgos gestion'!$Z$66="Baja",'Riesgos gestion'!$AB$66="Mayor"),CONCATENATE("R9C",'Riesgos gestion'!$P$66),"")</f>
        <v/>
      </c>
      <c r="AH44" s="55" t="str">
        <f>IF(AND('Riesgos gestion'!$Z$61="Baja",'Riesgos gestion'!$AB$61="Catastrófico"),CONCATENATE("R9C",'Riesgos gestion'!$P$61),"")</f>
        <v/>
      </c>
      <c r="AI44" s="56" t="str">
        <f>IF(AND('Riesgos gestion'!$Z$62="Baja",'Riesgos gestion'!$AB$62="Catastrófico"),CONCATENATE("R9C",'Riesgos gestion'!$P$62),"")</f>
        <v/>
      </c>
      <c r="AJ44" s="56" t="str">
        <f>IF(AND('Riesgos gestion'!$Z$63="Baja",'Riesgos gestion'!$AB$63="Catastrófico"),CONCATENATE("R9C",'Riesgos gestion'!$P$63),"")</f>
        <v/>
      </c>
      <c r="AK44" s="56" t="str">
        <f>IF(AND('Riesgos gestion'!$Z$64="Baja",'Riesgos gestion'!$AB$64="Catastrófico"),CONCATENATE("R9C",'Riesgos gestion'!$P$64),"")</f>
        <v/>
      </c>
      <c r="AL44" s="56" t="str">
        <f>IF(AND('Riesgos gestion'!$Z$65="Baja",'Riesgos gestion'!$AB$65="Catastrófico"),CONCATENATE("R9C",'Riesgos gestion'!$P$65),"")</f>
        <v/>
      </c>
      <c r="AM44" s="57" t="str">
        <f>IF(AND('Riesgos gestion'!$Z$66="Baja",'Riesgos gestion'!$AB$66="Catastrófico"),CONCATENATE("R9C",'Riesgos gestion'!$P$66),"")</f>
        <v/>
      </c>
      <c r="AN44" s="83"/>
      <c r="AO44" s="643"/>
      <c r="AP44" s="644"/>
      <c r="AQ44" s="644"/>
      <c r="AR44" s="644"/>
      <c r="AS44" s="644"/>
      <c r="AT44" s="645"/>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5">
      <c r="A45" s="83"/>
      <c r="B45" s="571"/>
      <c r="C45" s="571"/>
      <c r="D45" s="572"/>
      <c r="E45" s="615"/>
      <c r="F45" s="616"/>
      <c r="G45" s="616"/>
      <c r="H45" s="616"/>
      <c r="I45" s="616"/>
      <c r="J45" s="79" t="str">
        <f>IF(AND('Riesgos gestion'!$Z$67="Baja",'Riesgos gestion'!$AB$67="Leve"),CONCATENATE("R10C",'Riesgos gestion'!$P$67),"")</f>
        <v/>
      </c>
      <c r="K45" s="80" t="str">
        <f>IF(AND('Riesgos gestion'!$Z$68="Baja",'Riesgos gestion'!$AB$68="Leve"),CONCATENATE("R10C",'Riesgos gestion'!$P$68),"")</f>
        <v/>
      </c>
      <c r="L45" s="80" t="str">
        <f>IF(AND('Riesgos gestion'!$Z$69="Baja",'Riesgos gestion'!$AB$69="Leve"),CONCATENATE("R10C",'Riesgos gestion'!$P$69),"")</f>
        <v/>
      </c>
      <c r="M45" s="80" t="str">
        <f>IF(AND('Riesgos gestion'!$Z$70="Baja",'Riesgos gestion'!$AB$70="Leve"),CONCATENATE("R10C",'Riesgos gestion'!$P$70),"")</f>
        <v/>
      </c>
      <c r="N45" s="80" t="str">
        <f>IF(AND('Riesgos gestion'!$Z$71="Baja",'Riesgos gestion'!$AB$71="Leve"),CONCATENATE("R10C",'Riesgos gestion'!$P$71),"")</f>
        <v/>
      </c>
      <c r="O45" s="81" t="str">
        <f>IF(AND('Riesgos gestion'!$Z$72="Baja",'Riesgos gestion'!$AB$72="Leve"),CONCATENATE("R10C",'Riesgos gestion'!$P$72),"")</f>
        <v/>
      </c>
      <c r="P45" s="67" t="str">
        <f>IF(AND('Riesgos gestion'!$Z$67="Baja",'Riesgos gestion'!$AB$67="Menor"),CONCATENATE("R10C",'Riesgos gestion'!$P$67),"")</f>
        <v/>
      </c>
      <c r="Q45" s="68" t="str">
        <f>IF(AND('Riesgos gestion'!$Z$68="Baja",'Riesgos gestion'!$AB$68="Menor"),CONCATENATE("R10C",'Riesgos gestion'!$P$68),"")</f>
        <v/>
      </c>
      <c r="R45" s="68" t="str">
        <f>IF(AND('Riesgos gestion'!$Z$69="Baja",'Riesgos gestion'!$AB$69="Menor"),CONCATENATE("R10C",'Riesgos gestion'!$P$69),"")</f>
        <v/>
      </c>
      <c r="S45" s="68" t="str">
        <f>IF(AND('Riesgos gestion'!$Z$70="Baja",'Riesgos gestion'!$AB$70="Menor"),CONCATENATE("R10C",'Riesgos gestion'!$P$70),"")</f>
        <v/>
      </c>
      <c r="T45" s="68" t="str">
        <f>IF(AND('Riesgos gestion'!$Z$71="Baja",'Riesgos gestion'!$AB$71="Menor"),CONCATENATE("R10C",'Riesgos gestion'!$P$71),"")</f>
        <v/>
      </c>
      <c r="U45" s="69" t="str">
        <f>IF(AND('Riesgos gestion'!$Z$72="Baja",'Riesgos gestion'!$AB$72="Menor"),CONCATENATE("R10C",'Riesgos gestion'!$P$72),"")</f>
        <v/>
      </c>
      <c r="V45" s="70" t="str">
        <f>IF(AND('Riesgos gestion'!$Z$67="Baja",'Riesgos gestion'!$AB$67="Moderado"),CONCATENATE("R10C",'Riesgos gestion'!$P$67),"")</f>
        <v/>
      </c>
      <c r="W45" s="71" t="str">
        <f>IF(AND('Riesgos gestion'!$Z$68="Baja",'Riesgos gestion'!$AB$68="Moderado"),CONCATENATE("R10C",'Riesgos gestion'!$P$68),"")</f>
        <v/>
      </c>
      <c r="X45" s="71" t="str">
        <f>IF(AND('Riesgos gestion'!$Z$69="Baja",'Riesgos gestion'!$AB$69="Moderado"),CONCATENATE("R10C",'Riesgos gestion'!$P$69),"")</f>
        <v/>
      </c>
      <c r="Y45" s="71" t="str">
        <f>IF(AND('Riesgos gestion'!$Z$70="Baja",'Riesgos gestion'!$AB$70="Moderado"),CONCATENATE("R10C",'Riesgos gestion'!$P$70),"")</f>
        <v/>
      </c>
      <c r="Z45" s="71" t="str">
        <f>IF(AND('Riesgos gestion'!$Z$71="Baja",'Riesgos gestion'!$AB$71="Moderado"),CONCATENATE("R10C",'Riesgos gestion'!$P$71),"")</f>
        <v/>
      </c>
      <c r="AA45" s="72" t="str">
        <f>IF(AND('Riesgos gestion'!$Z$72="Baja",'Riesgos gestion'!$AB$72="Moderado"),CONCATENATE("R10C",'Riesgos gestion'!$P$72),"")</f>
        <v/>
      </c>
      <c r="AB45" s="58" t="str">
        <f>IF(AND('Riesgos gestion'!$Z$67="Baja",'Riesgos gestion'!$AB$67="Mayor"),CONCATENATE("R10C",'Riesgos gestion'!$P$67),"")</f>
        <v/>
      </c>
      <c r="AC45" s="59" t="str">
        <f>IF(AND('Riesgos gestion'!$Z$68="Baja",'Riesgos gestion'!$AB$68="Mayor"),CONCATENATE("R10C",'Riesgos gestion'!$P$68),"")</f>
        <v/>
      </c>
      <c r="AD45" s="59" t="str">
        <f>IF(AND('Riesgos gestion'!$Z$69="Baja",'Riesgos gestion'!$AB$69="Mayor"),CONCATENATE("R10C",'Riesgos gestion'!$P$69),"")</f>
        <v/>
      </c>
      <c r="AE45" s="59" t="str">
        <f>IF(AND('Riesgos gestion'!$Z$70="Baja",'Riesgos gestion'!$AB$70="Mayor"),CONCATENATE("R10C",'Riesgos gestion'!$P$70),"")</f>
        <v/>
      </c>
      <c r="AF45" s="59" t="str">
        <f>IF(AND('Riesgos gestion'!$Z$71="Baja",'Riesgos gestion'!$AB$71="Mayor"),CONCATENATE("R10C",'Riesgos gestion'!$P$71),"")</f>
        <v/>
      </c>
      <c r="AG45" s="60" t="str">
        <f>IF(AND('Riesgos gestion'!$Z$72="Baja",'Riesgos gestion'!$AB$72="Mayor"),CONCATENATE("R10C",'Riesgos gestion'!$P$72),"")</f>
        <v/>
      </c>
      <c r="AH45" s="61" t="str">
        <f>IF(AND('Riesgos gestion'!$Z$67="Baja",'Riesgos gestion'!$AB$67="Catastrófico"),CONCATENATE("R10C",'Riesgos gestion'!$P$67),"")</f>
        <v/>
      </c>
      <c r="AI45" s="62" t="str">
        <f>IF(AND('Riesgos gestion'!$Z$68="Baja",'Riesgos gestion'!$AB$68="Catastrófico"),CONCATENATE("R10C",'Riesgos gestion'!$P$68),"")</f>
        <v/>
      </c>
      <c r="AJ45" s="62" t="str">
        <f>IF(AND('Riesgos gestion'!$Z$69="Baja",'Riesgos gestion'!$AB$69="Catastrófico"),CONCATENATE("R10C",'Riesgos gestion'!$P$69),"")</f>
        <v/>
      </c>
      <c r="AK45" s="62" t="str">
        <f>IF(AND('Riesgos gestion'!$Z$70="Baja",'Riesgos gestion'!$AB$70="Catastrófico"),CONCATENATE("R10C",'Riesgos gestion'!$P$70),"")</f>
        <v/>
      </c>
      <c r="AL45" s="62" t="str">
        <f>IF(AND('Riesgos gestion'!$Z$71="Baja",'Riesgos gestion'!$AB$71="Catastrófico"),CONCATENATE("R10C",'Riesgos gestion'!$P$71),"")</f>
        <v/>
      </c>
      <c r="AM45" s="63" t="str">
        <f>IF(AND('Riesgos gestion'!$Z$72="Baja",'Riesgos gestion'!$AB$72="Catastrófico"),CONCATENATE("R10C",'Riesgos gestion'!$P$72),"")</f>
        <v/>
      </c>
      <c r="AN45" s="83"/>
      <c r="AO45" s="646"/>
      <c r="AP45" s="647"/>
      <c r="AQ45" s="647"/>
      <c r="AR45" s="647"/>
      <c r="AS45" s="647"/>
      <c r="AT45" s="648"/>
    </row>
    <row r="46" spans="1:80" ht="46.5" customHeight="1" x14ac:dyDescent="0.45">
      <c r="A46" s="83"/>
      <c r="B46" s="571"/>
      <c r="C46" s="571"/>
      <c r="D46" s="572"/>
      <c r="E46" s="609" t="s">
        <v>324</v>
      </c>
      <c r="F46" s="610"/>
      <c r="G46" s="610"/>
      <c r="H46" s="610"/>
      <c r="I46" s="611"/>
      <c r="J46" s="73" t="str">
        <f>IF(AND('Riesgos gestion'!$Z$13="Muy Baja",'Riesgos gestion'!$AB$13="Leve"),CONCATENATE("R1C",'Riesgos gestion'!$P$13),"")</f>
        <v/>
      </c>
      <c r="K46" s="74" t="str">
        <f>IF(AND('Riesgos gestion'!$Z$14="Muy Baja",'Riesgos gestion'!$AB$14="Leve"),CONCATENATE("R1C",'Riesgos gestion'!$P$14),"")</f>
        <v/>
      </c>
      <c r="L46" s="74" t="str">
        <f>IF(AND('Riesgos gestion'!$Z$15="Muy Baja",'Riesgos gestion'!$AB$15="Leve"),CONCATENATE("R1C",'Riesgos gestion'!$P$15),"")</f>
        <v/>
      </c>
      <c r="M46" s="74" t="str">
        <f>IF(AND('Riesgos gestion'!$Z$16="Muy Baja",'Riesgos gestion'!$AB$16="Leve"),CONCATENATE("R1C",'Riesgos gestion'!$P$16),"")</f>
        <v/>
      </c>
      <c r="N46" s="74" t="str">
        <f>IF(AND('Riesgos gestion'!$Z$17="Muy Baja",'Riesgos gestion'!$AB$17="Leve"),CONCATENATE("R1C",'Riesgos gestion'!$P$17),"")</f>
        <v/>
      </c>
      <c r="O46" s="75" t="e">
        <f>IF(AND('Riesgos gestion'!#REF!="Muy Baja",'Riesgos gestion'!#REF!="Leve"),CONCATENATE("R1C",'Riesgos gestion'!#REF!),"")</f>
        <v>#REF!</v>
      </c>
      <c r="P46" s="73" t="str">
        <f>IF(AND('Riesgos gestion'!$Z$13="Muy Baja",'Riesgos gestion'!$AB$13="Menor"),CONCATENATE("R1C",'Riesgos gestion'!$P$13),"")</f>
        <v/>
      </c>
      <c r="Q46" s="74" t="str">
        <f>IF(AND('Riesgos gestion'!$Z$14="Muy Baja",'Riesgos gestion'!$AB$14="Menor"),CONCATENATE("R1C",'Riesgos gestion'!$P$14),"")</f>
        <v/>
      </c>
      <c r="R46" s="74" t="str">
        <f>IF(AND('Riesgos gestion'!$Z$15="Muy Baja",'Riesgos gestion'!$AB$15="Menor"),CONCATENATE("R1C",'Riesgos gestion'!$P$15),"")</f>
        <v/>
      </c>
      <c r="S46" s="74" t="str">
        <f>IF(AND('Riesgos gestion'!$Z$16="Muy Baja",'Riesgos gestion'!$AB$16="Menor"),CONCATENATE("R1C",'Riesgos gestion'!$P$16),"")</f>
        <v/>
      </c>
      <c r="T46" s="74" t="str">
        <f>IF(AND('Riesgos gestion'!$Z$17="Muy Baja",'Riesgos gestion'!$AB$17="Menor"),CONCATENATE("R1C",'Riesgos gestion'!$P$17),"")</f>
        <v/>
      </c>
      <c r="U46" s="75" t="e">
        <f>IF(AND('Riesgos gestion'!#REF!="Muy Baja",'Riesgos gestion'!#REF!="Menor"),CONCATENATE("R1C",'Riesgos gestion'!#REF!),"")</f>
        <v>#REF!</v>
      </c>
      <c r="V46" s="64" t="str">
        <f>IF(AND('Riesgos gestion'!$Z$13="Muy Baja",'Riesgos gestion'!$AB$13="Moderado"),CONCATENATE("R1C",'Riesgos gestion'!$P$13),"")</f>
        <v/>
      </c>
      <c r="W46" s="82" t="str">
        <f>IF(AND('Riesgos gestion'!$Z$14="Muy Baja",'Riesgos gestion'!$AB$14="Moderado"),CONCATENATE("R1C",'Riesgos gestion'!$P$14),"")</f>
        <v/>
      </c>
      <c r="X46" s="65" t="str">
        <f>IF(AND('Riesgos gestion'!$Z$15="Muy Baja",'Riesgos gestion'!$AB$15="Moderado"),CONCATENATE("R1C",'Riesgos gestion'!$P$15),"")</f>
        <v/>
      </c>
      <c r="Y46" s="65" t="str">
        <f>IF(AND('Riesgos gestion'!$Z$16="Muy Baja",'Riesgos gestion'!$AB$16="Moderado"),CONCATENATE("R1C",'Riesgos gestion'!$P$16),"")</f>
        <v/>
      </c>
      <c r="Z46" s="65" t="str">
        <f>IF(AND('Riesgos gestion'!$Z$17="Muy Baja",'Riesgos gestion'!$AB$17="Moderado"),CONCATENATE("R1C",'Riesgos gestion'!$P$17),"")</f>
        <v/>
      </c>
      <c r="AA46" s="66" t="e">
        <f>IF(AND('Riesgos gestion'!#REF!="Muy Baja",'Riesgos gestion'!#REF!="Moderado"),CONCATENATE("R1C",'Riesgos gestion'!#REF!),"")</f>
        <v>#REF!</v>
      </c>
      <c r="AB46" s="46" t="str">
        <f>IF(AND('Riesgos gestion'!$Z$13="Muy Baja",'Riesgos gestion'!$AB$13="Mayor"),CONCATENATE("R1C",'Riesgos gestion'!$P$13),"")</f>
        <v/>
      </c>
      <c r="AC46" s="47" t="str">
        <f>IF(AND('Riesgos gestion'!$Z$14="Muy Baja",'Riesgos gestion'!$AB$14="Mayor"),CONCATENATE("R1C",'Riesgos gestion'!$P$14),"")</f>
        <v/>
      </c>
      <c r="AD46" s="47" t="str">
        <f>IF(AND('Riesgos gestion'!$Z$15="Muy Baja",'Riesgos gestion'!$AB$15="Mayor"),CONCATENATE("R1C",'Riesgos gestion'!$P$15),"")</f>
        <v/>
      </c>
      <c r="AE46" s="47" t="str">
        <f>IF(AND('Riesgos gestion'!$Z$16="Muy Baja",'Riesgos gestion'!$AB$16="Mayor"),CONCATENATE("R1C",'Riesgos gestion'!$P$16),"")</f>
        <v/>
      </c>
      <c r="AF46" s="47" t="str">
        <f>IF(AND('Riesgos gestion'!$Z$17="Muy Baja",'Riesgos gestion'!$AB$17="Mayor"),CONCATENATE("R1C",'Riesgos gestion'!$P$17),"")</f>
        <v/>
      </c>
      <c r="AG46" s="48" t="e">
        <f>IF(AND('Riesgos gestion'!#REF!="Muy Baja",'Riesgos gestion'!#REF!="Mayor"),CONCATENATE("R1C",'Riesgos gestion'!#REF!),"")</f>
        <v>#REF!</v>
      </c>
      <c r="AH46" s="49" t="str">
        <f>IF(AND('Riesgos gestion'!$Z$13="Muy Baja",'Riesgos gestion'!$AB$13="Catastrófico"),CONCATENATE("R1C",'Riesgos gestion'!$P$13),"")</f>
        <v/>
      </c>
      <c r="AI46" s="50" t="str">
        <f>IF(AND('Riesgos gestion'!$Z$14="Muy Baja",'Riesgos gestion'!$AB$14="Catastrófico"),CONCATENATE("R1C",'Riesgos gestion'!$P$14),"")</f>
        <v/>
      </c>
      <c r="AJ46" s="50" t="str">
        <f>IF(AND('Riesgos gestion'!$Z$15="Muy Baja",'Riesgos gestion'!$AB$15="Catastrófico"),CONCATENATE("R1C",'Riesgos gestion'!$P$15),"")</f>
        <v/>
      </c>
      <c r="AK46" s="50" t="str">
        <f>IF(AND('Riesgos gestion'!$Z$16="Muy Baja",'Riesgos gestion'!$AB$16="Catastrófico"),CONCATENATE("R1C",'Riesgos gestion'!$P$16),"")</f>
        <v/>
      </c>
      <c r="AL46" s="50" t="str">
        <f>IF(AND('Riesgos gestion'!$Z$17="Muy Baja",'Riesgos gestion'!$AB$17="Catastrófico"),CONCATENATE("R1C",'Riesgos gestion'!$P$17),"")</f>
        <v/>
      </c>
      <c r="AM46" s="51" t="e">
        <f>IF(AND('Riesgos gestion'!#REF!="Muy Baja",'Riesgos gestion'!#REF!="Catastrófico"),CONCATENATE("R1C",'Riesgos gestion'!#REF!),"")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3">
      <c r="A47" s="83"/>
      <c r="B47" s="571"/>
      <c r="C47" s="571"/>
      <c r="D47" s="572"/>
      <c r="E47" s="628"/>
      <c r="F47" s="613"/>
      <c r="G47" s="613"/>
      <c r="H47" s="613"/>
      <c r="I47" s="614"/>
      <c r="J47" s="76" t="str">
        <f>IF(AND('Riesgos gestion'!$Z$19="Muy Baja",'Riesgos gestion'!$AB$19="Leve"),CONCATENATE("R2C",'Riesgos gestion'!$P$19),"")</f>
        <v/>
      </c>
      <c r="K47" s="77" t="str">
        <f>IF(AND('Riesgos gestion'!$Z$20="Muy Baja",'Riesgos gestion'!$AB$20="Leve"),CONCATENATE("R2C",'Riesgos gestion'!$P$20),"")</f>
        <v/>
      </c>
      <c r="L47" s="77" t="str">
        <f>IF(AND('Riesgos gestion'!$Z$21="Muy Baja",'Riesgos gestion'!$AB$21="Leve"),CONCATENATE("R2C",'Riesgos gestion'!$P$21),"")</f>
        <v/>
      </c>
      <c r="M47" s="77" t="str">
        <f>IF(AND('Riesgos gestion'!$Z$22="Muy Baja",'Riesgos gestion'!$AB$22="Leve"),CONCATENATE("R2C",'Riesgos gestion'!$P$22),"")</f>
        <v/>
      </c>
      <c r="N47" s="77" t="str">
        <f>IF(AND('Riesgos gestion'!$Z$23="Muy Baja",'Riesgos gestion'!$AB$23="Leve"),CONCATENATE("R2C",'Riesgos gestion'!$P$23),"")</f>
        <v/>
      </c>
      <c r="O47" s="78" t="str">
        <f>IF(AND('Riesgos gestion'!$Z$24="Muy Baja",'Riesgos gestion'!$AB$24="Leve"),CONCATENATE("R2C",'Riesgos gestion'!$P$24),"")</f>
        <v/>
      </c>
      <c r="P47" s="76" t="str">
        <f>IF(AND('Riesgos gestion'!$Z$19="Muy Baja",'Riesgos gestion'!$AB$19="Menor"),CONCATENATE("R2C",'Riesgos gestion'!$P$19),"")</f>
        <v/>
      </c>
      <c r="Q47" s="77" t="str">
        <f>IF(AND('Riesgos gestion'!$Z$20="Muy Baja",'Riesgos gestion'!$AB$20="Menor"),CONCATENATE("R2C",'Riesgos gestion'!$P$20),"")</f>
        <v/>
      </c>
      <c r="R47" s="77" t="str">
        <f>IF(AND('Riesgos gestion'!$Z$21="Muy Baja",'Riesgos gestion'!$AB$21="Menor"),CONCATENATE("R2C",'Riesgos gestion'!$P$21),"")</f>
        <v/>
      </c>
      <c r="S47" s="77" t="str">
        <f>IF(AND('Riesgos gestion'!$Z$22="Muy Baja",'Riesgos gestion'!$AB$22="Menor"),CONCATENATE("R2C",'Riesgos gestion'!$P$22),"")</f>
        <v/>
      </c>
      <c r="T47" s="77" t="str">
        <f>IF(AND('Riesgos gestion'!$Z$23="Muy Baja",'Riesgos gestion'!$AB$23="Menor"),CONCATENATE("R2C",'Riesgos gestion'!$P$23),"")</f>
        <v/>
      </c>
      <c r="U47" s="78" t="str">
        <f>IF(AND('Riesgos gestion'!$Z$24="Muy Baja",'Riesgos gestion'!$AB$24="Menor"),CONCATENATE("R2C",'Riesgos gestion'!$P$24),"")</f>
        <v/>
      </c>
      <c r="V47" s="67" t="str">
        <f>IF(AND('Riesgos gestion'!$Z$19="Muy Baja",'Riesgos gestion'!$AB$19="Moderado"),CONCATENATE("R2C",'Riesgos gestion'!$P$19),"")</f>
        <v/>
      </c>
      <c r="W47" s="68" t="str">
        <f>IF(AND('Riesgos gestion'!$Z$20="Muy Baja",'Riesgos gestion'!$AB$20="Moderado"),CONCATENATE("R2C",'Riesgos gestion'!$P$20),"")</f>
        <v/>
      </c>
      <c r="X47" s="68" t="str">
        <f>IF(AND('Riesgos gestion'!$Z$21="Muy Baja",'Riesgos gestion'!$AB$21="Moderado"),CONCATENATE("R2C",'Riesgos gestion'!$P$21),"")</f>
        <v/>
      </c>
      <c r="Y47" s="68" t="str">
        <f>IF(AND('Riesgos gestion'!$Z$22="Muy Baja",'Riesgos gestion'!$AB$22="Moderado"),CONCATENATE("R2C",'Riesgos gestion'!$P$22),"")</f>
        <v/>
      </c>
      <c r="Z47" s="68" t="str">
        <f>IF(AND('Riesgos gestion'!$Z$23="Muy Baja",'Riesgos gestion'!$AB$23="Moderado"),CONCATENATE("R2C",'Riesgos gestion'!$P$23),"")</f>
        <v/>
      </c>
      <c r="AA47" s="69" t="str">
        <f>IF(AND('Riesgos gestion'!$Z$24="Muy Baja",'Riesgos gestion'!$AB$24="Moderado"),CONCATENATE("R2C",'Riesgos gestion'!$P$24),"")</f>
        <v/>
      </c>
      <c r="AB47" s="52" t="str">
        <f>IF(AND('Riesgos gestion'!$Z$19="Muy Baja",'Riesgos gestion'!$AB$19="Mayor"),CONCATENATE("R2C",'Riesgos gestion'!$P$19),"")</f>
        <v/>
      </c>
      <c r="AC47" s="53" t="str">
        <f>IF(AND('Riesgos gestion'!$Z$20="Muy Baja",'Riesgos gestion'!$AB$20="Mayor"),CONCATENATE("R2C",'Riesgos gestion'!$P$20),"")</f>
        <v/>
      </c>
      <c r="AD47" s="53" t="str">
        <f>IF(AND('Riesgos gestion'!$Z$21="Muy Baja",'Riesgos gestion'!$AB$21="Mayor"),CONCATENATE("R2C",'Riesgos gestion'!$P$21),"")</f>
        <v/>
      </c>
      <c r="AE47" s="53" t="str">
        <f>IF(AND('Riesgos gestion'!$Z$22="Muy Baja",'Riesgos gestion'!$AB$22="Mayor"),CONCATENATE("R2C",'Riesgos gestion'!$P$22),"")</f>
        <v/>
      </c>
      <c r="AF47" s="53" t="str">
        <f>IF(AND('Riesgos gestion'!$Z$23="Muy Baja",'Riesgos gestion'!$AB$23="Mayor"),CONCATENATE("R2C",'Riesgos gestion'!$P$23),"")</f>
        <v/>
      </c>
      <c r="AG47" s="54" t="str">
        <f>IF(AND('Riesgos gestion'!$Z$24="Muy Baja",'Riesgos gestion'!$AB$24="Mayor"),CONCATENATE("R2C",'Riesgos gestion'!$P$24),"")</f>
        <v/>
      </c>
      <c r="AH47" s="55" t="str">
        <f>IF(AND('Riesgos gestion'!$Z$19="Muy Baja",'Riesgos gestion'!$AB$19="Catastrófico"),CONCATENATE("R2C",'Riesgos gestion'!$P$19),"")</f>
        <v/>
      </c>
      <c r="AI47" s="56" t="str">
        <f>IF(AND('Riesgos gestion'!$Z$20="Muy Baja",'Riesgos gestion'!$AB$20="Catastrófico"),CONCATENATE("R2C",'Riesgos gestion'!$P$20),"")</f>
        <v/>
      </c>
      <c r="AJ47" s="56" t="str">
        <f>IF(AND('Riesgos gestion'!$Z$21="Muy Baja",'Riesgos gestion'!$AB$21="Catastrófico"),CONCATENATE("R2C",'Riesgos gestion'!$P$21),"")</f>
        <v/>
      </c>
      <c r="AK47" s="56" t="str">
        <f>IF(AND('Riesgos gestion'!$Z$22="Muy Baja",'Riesgos gestion'!$AB$22="Catastrófico"),CONCATENATE("R2C",'Riesgos gestion'!$P$22),"")</f>
        <v/>
      </c>
      <c r="AL47" s="56" t="str">
        <f>IF(AND('Riesgos gestion'!$Z$23="Muy Baja",'Riesgos gestion'!$AB$23="Catastrófico"),CONCATENATE("R2C",'Riesgos gestion'!$P$23),"")</f>
        <v/>
      </c>
      <c r="AM47" s="57" t="str">
        <f>IF(AND('Riesgos gestion'!$Z$24="Muy Baja",'Riesgos gestion'!$AB$24="Catastrófico"),CONCATENATE("R2C",'Riesgos gestion'!$P$24),"")</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3">
      <c r="A48" s="83"/>
      <c r="B48" s="571"/>
      <c r="C48" s="571"/>
      <c r="D48" s="572"/>
      <c r="E48" s="628"/>
      <c r="F48" s="613"/>
      <c r="G48" s="613"/>
      <c r="H48" s="613"/>
      <c r="I48" s="614"/>
      <c r="J48" s="76" t="str">
        <f>IF(AND('Riesgos gestion'!$Z$25="Muy Baja",'Riesgos gestion'!$AB$25="Leve"),CONCATENATE("R3C",'Riesgos gestion'!$P$25),"")</f>
        <v/>
      </c>
      <c r="K48" s="77" t="str">
        <f>IF(AND('Riesgos gestion'!$Z$26="Muy Baja",'Riesgos gestion'!$AB$26="Leve"),CONCATENATE("R3C",'Riesgos gestion'!$P$26),"")</f>
        <v/>
      </c>
      <c r="L48" s="77" t="str">
        <f>IF(AND('Riesgos gestion'!$Z$27="Muy Baja",'Riesgos gestion'!$AB$27="Leve"),CONCATENATE("R3C",'Riesgos gestion'!$P$27),"")</f>
        <v/>
      </c>
      <c r="M48" s="77" t="str">
        <f>IF(AND('Riesgos gestion'!$Z$28="Muy Baja",'Riesgos gestion'!$AB$28="Leve"),CONCATENATE("R3C",'Riesgos gestion'!$P$28),"")</f>
        <v/>
      </c>
      <c r="N48" s="77" t="str">
        <f>IF(AND('Riesgos gestion'!$Z$29="Muy Baja",'Riesgos gestion'!$AB$29="Leve"),CONCATENATE("R3C",'Riesgos gestion'!$P$29),"")</f>
        <v/>
      </c>
      <c r="O48" s="78" t="str">
        <f>IF(AND('Riesgos gestion'!$Z$30="Muy Baja",'Riesgos gestion'!$AB$30="Leve"),CONCATENATE("R3C",'Riesgos gestion'!$P$30),"")</f>
        <v/>
      </c>
      <c r="P48" s="76" t="str">
        <f>IF(AND('Riesgos gestion'!$Z$25="Muy Baja",'Riesgos gestion'!$AB$25="Menor"),CONCATENATE("R3C",'Riesgos gestion'!$P$25),"")</f>
        <v/>
      </c>
      <c r="Q48" s="77" t="str">
        <f>IF(AND('Riesgos gestion'!$Z$26="Muy Baja",'Riesgos gestion'!$AB$26="Menor"),CONCATENATE("R3C",'Riesgos gestion'!$P$26),"")</f>
        <v/>
      </c>
      <c r="R48" s="77" t="str">
        <f>IF(AND('Riesgos gestion'!$Z$27="Muy Baja",'Riesgos gestion'!$AB$27="Menor"),CONCATENATE("R3C",'Riesgos gestion'!$P$27),"")</f>
        <v/>
      </c>
      <c r="S48" s="77" t="str">
        <f>IF(AND('Riesgos gestion'!$Z$28="Muy Baja",'Riesgos gestion'!$AB$28="Menor"),CONCATENATE("R3C",'Riesgos gestion'!$P$28),"")</f>
        <v/>
      </c>
      <c r="T48" s="77" t="str">
        <f>IF(AND('Riesgos gestion'!$Z$29="Muy Baja",'Riesgos gestion'!$AB$29="Menor"),CONCATENATE("R3C",'Riesgos gestion'!$P$29),"")</f>
        <v/>
      </c>
      <c r="U48" s="78" t="str">
        <f>IF(AND('Riesgos gestion'!$Z$30="Muy Baja",'Riesgos gestion'!$AB$30="Menor"),CONCATENATE("R3C",'Riesgos gestion'!$P$30),"")</f>
        <v/>
      </c>
      <c r="V48" s="67" t="str">
        <f>IF(AND('Riesgos gestion'!$Z$25="Muy Baja",'Riesgos gestion'!$AB$25="Moderado"),CONCATENATE("R3C",'Riesgos gestion'!$P$25),"")</f>
        <v/>
      </c>
      <c r="W48" s="68" t="str">
        <f>IF(AND('Riesgos gestion'!$Z$26="Muy Baja",'Riesgos gestion'!$AB$26="Moderado"),CONCATENATE("R3C",'Riesgos gestion'!$P$26),"")</f>
        <v/>
      </c>
      <c r="X48" s="68" t="str">
        <f>IF(AND('Riesgos gestion'!$Z$27="Muy Baja",'Riesgos gestion'!$AB$27="Moderado"),CONCATENATE("R3C",'Riesgos gestion'!$P$27),"")</f>
        <v/>
      </c>
      <c r="Y48" s="68" t="str">
        <f>IF(AND('Riesgos gestion'!$Z$28="Muy Baja",'Riesgos gestion'!$AB$28="Moderado"),CONCATENATE("R3C",'Riesgos gestion'!$P$28),"")</f>
        <v/>
      </c>
      <c r="Z48" s="68" t="str">
        <f>IF(AND('Riesgos gestion'!$Z$29="Muy Baja",'Riesgos gestion'!$AB$29="Moderado"),CONCATENATE("R3C",'Riesgos gestion'!$P$29),"")</f>
        <v/>
      </c>
      <c r="AA48" s="69" t="str">
        <f>IF(AND('Riesgos gestion'!$Z$30="Muy Baja",'Riesgos gestion'!$AB$30="Moderado"),CONCATENATE("R3C",'Riesgos gestion'!$P$30),"")</f>
        <v/>
      </c>
      <c r="AB48" s="52" t="str">
        <f>IF(AND('Riesgos gestion'!$Z$25="Muy Baja",'Riesgos gestion'!$AB$25="Mayor"),CONCATENATE("R3C",'Riesgos gestion'!$P$25),"")</f>
        <v/>
      </c>
      <c r="AC48" s="53" t="str">
        <f>IF(AND('Riesgos gestion'!$Z$26="Muy Baja",'Riesgos gestion'!$AB$26="Mayor"),CONCATENATE("R3C",'Riesgos gestion'!$P$26),"")</f>
        <v/>
      </c>
      <c r="AD48" s="53" t="str">
        <f>IF(AND('Riesgos gestion'!$Z$27="Muy Baja",'Riesgos gestion'!$AB$27="Mayor"),CONCATENATE("R3C",'Riesgos gestion'!$P$27),"")</f>
        <v/>
      </c>
      <c r="AE48" s="53" t="str">
        <f>IF(AND('Riesgos gestion'!$Z$28="Muy Baja",'Riesgos gestion'!$AB$28="Mayor"),CONCATENATE("R3C",'Riesgos gestion'!$P$28),"")</f>
        <v/>
      </c>
      <c r="AF48" s="53" t="str">
        <f>IF(AND('Riesgos gestion'!$Z$29="Muy Baja",'Riesgos gestion'!$AB$29="Mayor"),CONCATENATE("R3C",'Riesgos gestion'!$P$29),"")</f>
        <v/>
      </c>
      <c r="AG48" s="54" t="str">
        <f>IF(AND('Riesgos gestion'!$Z$30="Muy Baja",'Riesgos gestion'!$AB$30="Mayor"),CONCATENATE("R3C",'Riesgos gestion'!$P$30),"")</f>
        <v/>
      </c>
      <c r="AH48" s="55" t="str">
        <f>IF(AND('Riesgos gestion'!$Z$25="Muy Baja",'Riesgos gestion'!$AB$25="Catastrófico"),CONCATENATE("R3C",'Riesgos gestion'!$P$25),"")</f>
        <v/>
      </c>
      <c r="AI48" s="56" t="str">
        <f>IF(AND('Riesgos gestion'!$Z$26="Muy Baja",'Riesgos gestion'!$AB$26="Catastrófico"),CONCATENATE("R3C",'Riesgos gestion'!$P$26),"")</f>
        <v/>
      </c>
      <c r="AJ48" s="56" t="str">
        <f>IF(AND('Riesgos gestion'!$Z$27="Muy Baja",'Riesgos gestion'!$AB$27="Catastrófico"),CONCATENATE("R3C",'Riesgos gestion'!$P$27),"")</f>
        <v/>
      </c>
      <c r="AK48" s="56" t="str">
        <f>IF(AND('Riesgos gestion'!$Z$28="Muy Baja",'Riesgos gestion'!$AB$28="Catastrófico"),CONCATENATE("R3C",'Riesgos gestion'!$P$28),"")</f>
        <v/>
      </c>
      <c r="AL48" s="56" t="str">
        <f>IF(AND('Riesgos gestion'!$Z$29="Muy Baja",'Riesgos gestion'!$AB$29="Catastrófico"),CONCATENATE("R3C",'Riesgos gestion'!$P$29),"")</f>
        <v/>
      </c>
      <c r="AM48" s="57" t="str">
        <f>IF(AND('Riesgos gestion'!$Z$30="Muy Baja",'Riesgos gestion'!$AB$30="Catastrófico"),CONCATENATE("R3C",'Riesgos gestion'!$P$30),"")</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3">
      <c r="A49" s="83"/>
      <c r="B49" s="571"/>
      <c r="C49" s="571"/>
      <c r="D49" s="572"/>
      <c r="E49" s="612"/>
      <c r="F49" s="613"/>
      <c r="G49" s="613"/>
      <c r="H49" s="613"/>
      <c r="I49" s="614"/>
      <c r="J49" s="76" t="str">
        <f>IF(AND('Riesgos gestion'!$Z$31="Muy Baja",'Riesgos gestion'!$AB$31="Leve"),CONCATENATE("R4C",'Riesgos gestion'!$P$31),"")</f>
        <v/>
      </c>
      <c r="K49" s="77" t="str">
        <f>IF(AND('Riesgos gestion'!$Z$32="Muy Baja",'Riesgos gestion'!$AB$32="Leve"),CONCATENATE("R4C",'Riesgos gestion'!$P$32),"")</f>
        <v/>
      </c>
      <c r="L49" s="77" t="str">
        <f>IF(AND('Riesgos gestion'!$Z$33="Muy Baja",'Riesgos gestion'!$AB$33="Leve"),CONCATENATE("R4C",'Riesgos gestion'!$P$33),"")</f>
        <v/>
      </c>
      <c r="M49" s="77" t="str">
        <f>IF(AND('Riesgos gestion'!$Z$34="Muy Baja",'Riesgos gestion'!$AB$34="Leve"),CONCATENATE("R4C",'Riesgos gestion'!$P$34),"")</f>
        <v/>
      </c>
      <c r="N49" s="77" t="str">
        <f>IF(AND('Riesgos gestion'!$Z$35="Muy Baja",'Riesgos gestion'!$AB$35="Leve"),CONCATENATE("R4C",'Riesgos gestion'!$P$35),"")</f>
        <v/>
      </c>
      <c r="O49" s="78" t="str">
        <f>IF(AND('Riesgos gestion'!$Z$36="Muy Baja",'Riesgos gestion'!$AB$36="Leve"),CONCATENATE("R4C",'Riesgos gestion'!$P$36),"")</f>
        <v/>
      </c>
      <c r="P49" s="76" t="str">
        <f>IF(AND('Riesgos gestion'!$Z$31="Muy Baja",'Riesgos gestion'!$AB$31="Menor"),CONCATENATE("R4C",'Riesgos gestion'!$P$31),"")</f>
        <v/>
      </c>
      <c r="Q49" s="77" t="str">
        <f>IF(AND('Riesgos gestion'!$Z$32="Muy Baja",'Riesgos gestion'!$AB$32="Menor"),CONCATENATE("R4C",'Riesgos gestion'!$P$32),"")</f>
        <v/>
      </c>
      <c r="R49" s="77" t="str">
        <f>IF(AND('Riesgos gestion'!$Z$33="Muy Baja",'Riesgos gestion'!$AB$33="Menor"),CONCATENATE("R4C",'Riesgos gestion'!$P$33),"")</f>
        <v/>
      </c>
      <c r="S49" s="77" t="str">
        <f>IF(AND('Riesgos gestion'!$Z$34="Muy Baja",'Riesgos gestion'!$AB$34="Menor"),CONCATENATE("R4C",'Riesgos gestion'!$P$34),"")</f>
        <v/>
      </c>
      <c r="T49" s="77" t="str">
        <f>IF(AND('Riesgos gestion'!$Z$35="Muy Baja",'Riesgos gestion'!$AB$35="Menor"),CONCATENATE("R4C",'Riesgos gestion'!$P$35),"")</f>
        <v/>
      </c>
      <c r="U49" s="78" t="str">
        <f>IF(AND('Riesgos gestion'!$Z$36="Muy Baja",'Riesgos gestion'!$AB$36="Menor"),CONCATENATE("R4C",'Riesgos gestion'!$P$36),"")</f>
        <v/>
      </c>
      <c r="V49" s="67" t="str">
        <f>IF(AND('Riesgos gestion'!$Z$31="Muy Baja",'Riesgos gestion'!$AB$31="Moderado"),CONCATENATE("R4C",'Riesgos gestion'!$P$31),"")</f>
        <v/>
      </c>
      <c r="W49" s="68" t="str">
        <f>IF(AND('Riesgos gestion'!$Z$32="Muy Baja",'Riesgos gestion'!$AB$32="Moderado"),CONCATENATE("R4C",'Riesgos gestion'!$P$32),"")</f>
        <v/>
      </c>
      <c r="X49" s="68" t="str">
        <f>IF(AND('Riesgos gestion'!$Z$33="Muy Baja",'Riesgos gestion'!$AB$33="Moderado"),CONCATENATE("R4C",'Riesgos gestion'!$P$33),"")</f>
        <v/>
      </c>
      <c r="Y49" s="68" t="str">
        <f>IF(AND('Riesgos gestion'!$Z$34="Muy Baja",'Riesgos gestion'!$AB$34="Moderado"),CONCATENATE("R4C",'Riesgos gestion'!$P$34),"")</f>
        <v/>
      </c>
      <c r="Z49" s="68" t="str">
        <f>IF(AND('Riesgos gestion'!$Z$35="Muy Baja",'Riesgos gestion'!$AB$35="Moderado"),CONCATENATE("R4C",'Riesgos gestion'!$P$35),"")</f>
        <v/>
      </c>
      <c r="AA49" s="69" t="str">
        <f>IF(AND('Riesgos gestion'!$Z$36="Muy Baja",'Riesgos gestion'!$AB$36="Moderado"),CONCATENATE("R4C",'Riesgos gestion'!$P$36),"")</f>
        <v/>
      </c>
      <c r="AB49" s="52" t="str">
        <f>IF(AND('Riesgos gestion'!$Z$31="Muy Baja",'Riesgos gestion'!$AB$31="Mayor"),CONCATENATE("R4C",'Riesgos gestion'!$P$31),"")</f>
        <v/>
      </c>
      <c r="AC49" s="53" t="str">
        <f>IF(AND('Riesgos gestion'!$Z$32="Muy Baja",'Riesgos gestion'!$AB$32="Mayor"),CONCATENATE("R4C",'Riesgos gestion'!$P$32),"")</f>
        <v/>
      </c>
      <c r="AD49" s="53" t="str">
        <f>IF(AND('Riesgos gestion'!$Z$33="Muy Baja",'Riesgos gestion'!$AB$33="Mayor"),CONCATENATE("R4C",'Riesgos gestion'!$P$33),"")</f>
        <v/>
      </c>
      <c r="AE49" s="53" t="str">
        <f>IF(AND('Riesgos gestion'!$Z$34="Muy Baja",'Riesgos gestion'!$AB$34="Mayor"),CONCATENATE("R4C",'Riesgos gestion'!$P$34),"")</f>
        <v/>
      </c>
      <c r="AF49" s="53" t="str">
        <f>IF(AND('Riesgos gestion'!$Z$35="Muy Baja",'Riesgos gestion'!$AB$35="Mayor"),CONCATENATE("R4C",'Riesgos gestion'!$P$35),"")</f>
        <v/>
      </c>
      <c r="AG49" s="54" t="str">
        <f>IF(AND('Riesgos gestion'!$Z$36="Muy Baja",'Riesgos gestion'!$AB$36="Mayor"),CONCATENATE("R4C",'Riesgos gestion'!$P$36),"")</f>
        <v/>
      </c>
      <c r="AH49" s="55" t="str">
        <f>IF(AND('Riesgos gestion'!$Z$31="Muy Baja",'Riesgos gestion'!$AB$31="Catastrófico"),CONCATENATE("R4C",'Riesgos gestion'!$P$31),"")</f>
        <v/>
      </c>
      <c r="AI49" s="56" t="str">
        <f>IF(AND('Riesgos gestion'!$Z$32="Muy Baja",'Riesgos gestion'!$AB$32="Catastrófico"),CONCATENATE("R4C",'Riesgos gestion'!$P$32),"")</f>
        <v/>
      </c>
      <c r="AJ49" s="56" t="str">
        <f>IF(AND('Riesgos gestion'!$Z$33="Muy Baja",'Riesgos gestion'!$AB$33="Catastrófico"),CONCATENATE("R4C",'Riesgos gestion'!$P$33),"")</f>
        <v/>
      </c>
      <c r="AK49" s="56" t="str">
        <f>IF(AND('Riesgos gestion'!$Z$34="Muy Baja",'Riesgos gestion'!$AB$34="Catastrófico"),CONCATENATE("R4C",'Riesgos gestion'!$P$34),"")</f>
        <v/>
      </c>
      <c r="AL49" s="56" t="str">
        <f>IF(AND('Riesgos gestion'!$Z$35="Muy Baja",'Riesgos gestion'!$AB$35="Catastrófico"),CONCATENATE("R4C",'Riesgos gestion'!$P$35),"")</f>
        <v/>
      </c>
      <c r="AM49" s="57" t="str">
        <f>IF(AND('Riesgos gestion'!$Z$36="Muy Baja",'Riesgos gestion'!$AB$36="Catastrófico"),CONCATENATE("R4C",'Riesgos gestion'!$P$36),"")</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3">
      <c r="A50" s="83"/>
      <c r="B50" s="571"/>
      <c r="C50" s="571"/>
      <c r="D50" s="572"/>
      <c r="E50" s="612"/>
      <c r="F50" s="613"/>
      <c r="G50" s="613"/>
      <c r="H50" s="613"/>
      <c r="I50" s="614"/>
      <c r="J50" s="76" t="str">
        <f>IF(AND('Riesgos gestion'!$Z$37="Muy Baja",'Riesgos gestion'!$AB$37="Leve"),CONCATENATE("R5C",'Riesgos gestion'!$P$37),"")</f>
        <v/>
      </c>
      <c r="K50" s="77" t="str">
        <f>IF(AND('Riesgos gestion'!$Z$38="Muy Baja",'Riesgos gestion'!$AB$38="Leve"),CONCATENATE("R5C",'Riesgos gestion'!$P$38),"")</f>
        <v/>
      </c>
      <c r="L50" s="77" t="str">
        <f>IF(AND('Riesgos gestion'!$Z$39="Muy Baja",'Riesgos gestion'!$AB$39="Leve"),CONCATENATE("R5C",'Riesgos gestion'!$P$39),"")</f>
        <v/>
      </c>
      <c r="M50" s="77" t="str">
        <f>IF(AND('Riesgos gestion'!$Z$40="Muy Baja",'Riesgos gestion'!$AB$40="Leve"),CONCATENATE("R5C",'Riesgos gestion'!$P$40),"")</f>
        <v/>
      </c>
      <c r="N50" s="77" t="str">
        <f>IF(AND('Riesgos gestion'!$Z$41="Muy Baja",'Riesgos gestion'!$AB$41="Leve"),CONCATENATE("R5C",'Riesgos gestion'!$P$41),"")</f>
        <v/>
      </c>
      <c r="O50" s="78" t="str">
        <f>IF(AND('Riesgos gestion'!$Z$42="Muy Baja",'Riesgos gestion'!$AB$42="Leve"),CONCATENATE("R5C",'Riesgos gestion'!$P$42),"")</f>
        <v/>
      </c>
      <c r="P50" s="76" t="str">
        <f>IF(AND('Riesgos gestion'!$Z$37="Muy Baja",'Riesgos gestion'!$AB$37="Menor"),CONCATENATE("R5C",'Riesgos gestion'!$P$37),"")</f>
        <v/>
      </c>
      <c r="Q50" s="77" t="str">
        <f>IF(AND('Riesgos gestion'!$Z$38="Muy Baja",'Riesgos gestion'!$AB$38="Menor"),CONCATENATE("R5C",'Riesgos gestion'!$P$38),"")</f>
        <v/>
      </c>
      <c r="R50" s="77" t="str">
        <f>IF(AND('Riesgos gestion'!$Z$39="Muy Baja",'Riesgos gestion'!$AB$39="Menor"),CONCATENATE("R5C",'Riesgos gestion'!$P$39),"")</f>
        <v/>
      </c>
      <c r="S50" s="77" t="str">
        <f>IF(AND('Riesgos gestion'!$Z$40="Muy Baja",'Riesgos gestion'!$AB$40="Menor"),CONCATENATE("R5C",'Riesgos gestion'!$P$40),"")</f>
        <v/>
      </c>
      <c r="T50" s="77" t="str">
        <f>IF(AND('Riesgos gestion'!$Z$41="Muy Baja",'Riesgos gestion'!$AB$41="Menor"),CONCATENATE("R5C",'Riesgos gestion'!$P$41),"")</f>
        <v/>
      </c>
      <c r="U50" s="78" t="str">
        <f>IF(AND('Riesgos gestion'!$Z$42="Muy Baja",'Riesgos gestion'!$AB$42="Menor"),CONCATENATE("R5C",'Riesgos gestion'!$P$42),"")</f>
        <v/>
      </c>
      <c r="V50" s="67" t="str">
        <f>IF(AND('Riesgos gestion'!$Z$37="Muy Baja",'Riesgos gestion'!$AB$37="Moderado"),CONCATENATE("R5C",'Riesgos gestion'!$P$37),"")</f>
        <v/>
      </c>
      <c r="W50" s="68" t="str">
        <f>IF(AND('Riesgos gestion'!$Z$38="Muy Baja",'Riesgos gestion'!$AB$38="Moderado"),CONCATENATE("R5C",'Riesgos gestion'!$P$38),"")</f>
        <v/>
      </c>
      <c r="X50" s="68" t="str">
        <f>IF(AND('Riesgos gestion'!$Z$39="Muy Baja",'Riesgos gestion'!$AB$39="Moderado"),CONCATENATE("R5C",'Riesgos gestion'!$P$39),"")</f>
        <v/>
      </c>
      <c r="Y50" s="68" t="str">
        <f>IF(AND('Riesgos gestion'!$Z$40="Muy Baja",'Riesgos gestion'!$AB$40="Moderado"),CONCATENATE("R5C",'Riesgos gestion'!$P$40),"")</f>
        <v/>
      </c>
      <c r="Z50" s="68" t="str">
        <f>IF(AND('Riesgos gestion'!$Z$41="Muy Baja",'Riesgos gestion'!$AB$41="Moderado"),CONCATENATE("R5C",'Riesgos gestion'!$P$41),"")</f>
        <v/>
      </c>
      <c r="AA50" s="69" t="str">
        <f>IF(AND('Riesgos gestion'!$Z$42="Muy Baja",'Riesgos gestion'!$AB$42="Moderado"),CONCATENATE("R5C",'Riesgos gestion'!$P$42),"")</f>
        <v/>
      </c>
      <c r="AB50" s="52" t="str">
        <f>IF(AND('Riesgos gestion'!$Z$37="Muy Baja",'Riesgos gestion'!$AB$37="Mayor"),CONCATENATE("R5C",'Riesgos gestion'!$P$37),"")</f>
        <v/>
      </c>
      <c r="AC50" s="53" t="str">
        <f>IF(AND('Riesgos gestion'!$Z$38="Muy Baja",'Riesgos gestion'!$AB$38="Mayor"),CONCATENATE("R5C",'Riesgos gestion'!$P$38),"")</f>
        <v/>
      </c>
      <c r="AD50" s="53" t="str">
        <f>IF(AND('Riesgos gestion'!$Z$39="Muy Baja",'Riesgos gestion'!$AB$39="Mayor"),CONCATENATE("R5C",'Riesgos gestion'!$P$39),"")</f>
        <v/>
      </c>
      <c r="AE50" s="53" t="str">
        <f>IF(AND('Riesgos gestion'!$Z$40="Muy Baja",'Riesgos gestion'!$AB$40="Mayor"),CONCATENATE("R5C",'Riesgos gestion'!$P$40),"")</f>
        <v/>
      </c>
      <c r="AF50" s="53" t="str">
        <f>IF(AND('Riesgos gestion'!$Z$41="Muy Baja",'Riesgos gestion'!$AB$41="Mayor"),CONCATENATE("R5C",'Riesgos gestion'!$P$41),"")</f>
        <v/>
      </c>
      <c r="AG50" s="54" t="str">
        <f>IF(AND('Riesgos gestion'!$Z$42="Muy Baja",'Riesgos gestion'!$AB$42="Mayor"),CONCATENATE("R5C",'Riesgos gestion'!$P$42),"")</f>
        <v/>
      </c>
      <c r="AH50" s="55" t="str">
        <f>IF(AND('Riesgos gestion'!$Z$37="Muy Baja",'Riesgos gestion'!$AB$37="Catastrófico"),CONCATENATE("R5C",'Riesgos gestion'!$P$37),"")</f>
        <v/>
      </c>
      <c r="AI50" s="56" t="str">
        <f>IF(AND('Riesgos gestion'!$Z$38="Muy Baja",'Riesgos gestion'!$AB$38="Catastrófico"),CONCATENATE("R5C",'Riesgos gestion'!$P$38),"")</f>
        <v/>
      </c>
      <c r="AJ50" s="56" t="str">
        <f>IF(AND('Riesgos gestion'!$Z$39="Muy Baja",'Riesgos gestion'!$AB$39="Catastrófico"),CONCATENATE("R5C",'Riesgos gestion'!$P$39),"")</f>
        <v/>
      </c>
      <c r="AK50" s="56" t="str">
        <f>IF(AND('Riesgos gestion'!$Z$40="Muy Baja",'Riesgos gestion'!$AB$40="Catastrófico"),CONCATENATE("R5C",'Riesgos gestion'!$P$40),"")</f>
        <v/>
      </c>
      <c r="AL50" s="56" t="str">
        <f>IF(AND('Riesgos gestion'!$Z$41="Muy Baja",'Riesgos gestion'!$AB$41="Catastrófico"),CONCATENATE("R5C",'Riesgos gestion'!$P$41),"")</f>
        <v/>
      </c>
      <c r="AM50" s="57" t="str">
        <f>IF(AND('Riesgos gestion'!$Z$42="Muy Baja",'Riesgos gestion'!$AB$42="Catastrófico"),CONCATENATE("R5C",'Riesgos gestion'!$P$42),"")</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3">
      <c r="A51" s="83"/>
      <c r="B51" s="571"/>
      <c r="C51" s="571"/>
      <c r="D51" s="572"/>
      <c r="E51" s="612"/>
      <c r="F51" s="613"/>
      <c r="G51" s="613"/>
      <c r="H51" s="613"/>
      <c r="I51" s="614"/>
      <c r="J51" s="76" t="str">
        <f>IF(AND('Riesgos gestion'!$Z$43="Muy Baja",'Riesgos gestion'!$AB$43="Leve"),CONCATENATE("R6C",'Riesgos gestion'!$P$43),"")</f>
        <v/>
      </c>
      <c r="K51" s="77" t="str">
        <f>IF(AND('Riesgos gestion'!$Z$44="Muy Baja",'Riesgos gestion'!$AB$44="Leve"),CONCATENATE("R6C",'Riesgos gestion'!$P$44),"")</f>
        <v/>
      </c>
      <c r="L51" s="77" t="str">
        <f>IF(AND('Riesgos gestion'!$Z$45="Muy Baja",'Riesgos gestion'!$AB$45="Leve"),CONCATENATE("R6C",'Riesgos gestion'!$P$45),"")</f>
        <v/>
      </c>
      <c r="M51" s="77" t="str">
        <f>IF(AND('Riesgos gestion'!$Z$46="Muy Baja",'Riesgos gestion'!$AB$46="Leve"),CONCATENATE("R6C",'Riesgos gestion'!$P$46),"")</f>
        <v/>
      </c>
      <c r="N51" s="77" t="str">
        <f>IF(AND('Riesgos gestion'!$Z$47="Muy Baja",'Riesgos gestion'!$AB$47="Leve"),CONCATENATE("R6C",'Riesgos gestion'!$P$47),"")</f>
        <v/>
      </c>
      <c r="O51" s="78" t="str">
        <f>IF(AND('Riesgos gestion'!$Z$48="Muy Baja",'Riesgos gestion'!$AB$48="Leve"),CONCATENATE("R6C",'Riesgos gestion'!$P$48),"")</f>
        <v/>
      </c>
      <c r="P51" s="76" t="str">
        <f>IF(AND('Riesgos gestion'!$Z$43="Muy Baja",'Riesgos gestion'!$AB$43="Menor"),CONCATENATE("R6C",'Riesgos gestion'!$P$43),"")</f>
        <v/>
      </c>
      <c r="Q51" s="77" t="str">
        <f>IF(AND('Riesgos gestion'!$Z$44="Muy Baja",'Riesgos gestion'!$AB$44="Menor"),CONCATENATE("R6C",'Riesgos gestion'!$P$44),"")</f>
        <v/>
      </c>
      <c r="R51" s="77" t="str">
        <f>IF(AND('Riesgos gestion'!$Z$45="Muy Baja",'Riesgos gestion'!$AB$45="Menor"),CONCATENATE("R6C",'Riesgos gestion'!$P$45),"")</f>
        <v/>
      </c>
      <c r="S51" s="77" t="str">
        <f>IF(AND('Riesgos gestion'!$Z$46="Muy Baja",'Riesgos gestion'!$AB$46="Menor"),CONCATENATE("R6C",'Riesgos gestion'!$P$46),"")</f>
        <v/>
      </c>
      <c r="T51" s="77" t="str">
        <f>IF(AND('Riesgos gestion'!$Z$47="Muy Baja",'Riesgos gestion'!$AB$47="Menor"),CONCATENATE("R6C",'Riesgos gestion'!$P$47),"")</f>
        <v/>
      </c>
      <c r="U51" s="78" t="str">
        <f>IF(AND('Riesgos gestion'!$Z$48="Muy Baja",'Riesgos gestion'!$AB$48="Menor"),CONCATENATE("R6C",'Riesgos gestion'!$P$48),"")</f>
        <v/>
      </c>
      <c r="V51" s="67" t="str">
        <f>IF(AND('Riesgos gestion'!$Z$43="Muy Baja",'Riesgos gestion'!$AB$43="Moderado"),CONCATENATE("R6C",'Riesgos gestion'!$P$43),"")</f>
        <v/>
      </c>
      <c r="W51" s="68" t="str">
        <f>IF(AND('Riesgos gestion'!$Z$44="Muy Baja",'Riesgos gestion'!$AB$44="Moderado"),CONCATENATE("R6C",'Riesgos gestion'!$P$44),"")</f>
        <v/>
      </c>
      <c r="X51" s="68" t="str">
        <f>IF(AND('Riesgos gestion'!$Z$45="Muy Baja",'Riesgos gestion'!$AB$45="Moderado"),CONCATENATE("R6C",'Riesgos gestion'!$P$45),"")</f>
        <v/>
      </c>
      <c r="Y51" s="68" t="str">
        <f>IF(AND('Riesgos gestion'!$Z$46="Muy Baja",'Riesgos gestion'!$AB$46="Moderado"),CONCATENATE("R6C",'Riesgos gestion'!$P$46),"")</f>
        <v/>
      </c>
      <c r="Z51" s="68" t="str">
        <f>IF(AND('Riesgos gestion'!$Z$47="Muy Baja",'Riesgos gestion'!$AB$47="Moderado"),CONCATENATE("R6C",'Riesgos gestion'!$P$47),"")</f>
        <v/>
      </c>
      <c r="AA51" s="69" t="str">
        <f>IF(AND('Riesgos gestion'!$Z$48="Muy Baja",'Riesgos gestion'!$AB$48="Moderado"),CONCATENATE("R6C",'Riesgos gestion'!$P$48),"")</f>
        <v/>
      </c>
      <c r="AB51" s="52" t="str">
        <f>IF(AND('Riesgos gestion'!$Z$43="Muy Baja",'Riesgos gestion'!$AB$43="Mayor"),CONCATENATE("R6C",'Riesgos gestion'!$P$43),"")</f>
        <v/>
      </c>
      <c r="AC51" s="53" t="str">
        <f>IF(AND('Riesgos gestion'!$Z$44="Muy Baja",'Riesgos gestion'!$AB$44="Mayor"),CONCATENATE("R6C",'Riesgos gestion'!$P$44),"")</f>
        <v/>
      </c>
      <c r="AD51" s="53" t="str">
        <f>IF(AND('Riesgos gestion'!$Z$45="Muy Baja",'Riesgos gestion'!$AB$45="Mayor"),CONCATENATE("R6C",'Riesgos gestion'!$P$45),"")</f>
        <v/>
      </c>
      <c r="AE51" s="53" t="str">
        <f>IF(AND('Riesgos gestion'!$Z$46="Muy Baja",'Riesgos gestion'!$AB$46="Mayor"),CONCATENATE("R6C",'Riesgos gestion'!$P$46),"")</f>
        <v/>
      </c>
      <c r="AF51" s="53" t="str">
        <f>IF(AND('Riesgos gestion'!$Z$47="Muy Baja",'Riesgos gestion'!$AB$47="Mayor"),CONCATENATE("R6C",'Riesgos gestion'!$P$47),"")</f>
        <v/>
      </c>
      <c r="AG51" s="54" t="str">
        <f>IF(AND('Riesgos gestion'!$Z$48="Muy Baja",'Riesgos gestion'!$AB$48="Mayor"),CONCATENATE("R6C",'Riesgos gestion'!$P$48),"")</f>
        <v/>
      </c>
      <c r="AH51" s="55" t="str">
        <f>IF(AND('Riesgos gestion'!$Z$43="Muy Baja",'Riesgos gestion'!$AB$43="Catastrófico"),CONCATENATE("R6C",'Riesgos gestion'!$P$43),"")</f>
        <v/>
      </c>
      <c r="AI51" s="56" t="str">
        <f>IF(AND('Riesgos gestion'!$Z$44="Muy Baja",'Riesgos gestion'!$AB$44="Catastrófico"),CONCATENATE("R6C",'Riesgos gestion'!$P$44),"")</f>
        <v/>
      </c>
      <c r="AJ51" s="56" t="str">
        <f>IF(AND('Riesgos gestion'!$Z$45="Muy Baja",'Riesgos gestion'!$AB$45="Catastrófico"),CONCATENATE("R6C",'Riesgos gestion'!$P$45),"")</f>
        <v/>
      </c>
      <c r="AK51" s="56" t="str">
        <f>IF(AND('Riesgos gestion'!$Z$46="Muy Baja",'Riesgos gestion'!$AB$46="Catastrófico"),CONCATENATE("R6C",'Riesgos gestion'!$P$46),"")</f>
        <v/>
      </c>
      <c r="AL51" s="56" t="str">
        <f>IF(AND('Riesgos gestion'!$Z$47="Muy Baja",'Riesgos gestion'!$AB$47="Catastrófico"),CONCATENATE("R6C",'Riesgos gestion'!$P$47),"")</f>
        <v/>
      </c>
      <c r="AM51" s="57" t="str">
        <f>IF(AND('Riesgos gestion'!$Z$48="Muy Baja",'Riesgos gestion'!$AB$48="Catastrófico"),CONCATENATE("R6C",'Riesgos gestion'!$P$48),"")</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3">
      <c r="A52" s="83"/>
      <c r="B52" s="571"/>
      <c r="C52" s="571"/>
      <c r="D52" s="572"/>
      <c r="E52" s="612"/>
      <c r="F52" s="613"/>
      <c r="G52" s="613"/>
      <c r="H52" s="613"/>
      <c r="I52" s="614"/>
      <c r="J52" s="76" t="str">
        <f>IF(AND('Riesgos gestion'!$Z$49="Muy Baja",'Riesgos gestion'!$AB$49="Leve"),CONCATENATE("R7C",'Riesgos gestion'!$P$49),"")</f>
        <v/>
      </c>
      <c r="K52" s="77" t="str">
        <f>IF(AND('Riesgos gestion'!$Z$50="Muy Baja",'Riesgos gestion'!$AB$50="Leve"),CONCATENATE("R7C",'Riesgos gestion'!$P$50),"")</f>
        <v/>
      </c>
      <c r="L52" s="77" t="str">
        <f>IF(AND('Riesgos gestion'!$Z$51="Muy Baja",'Riesgos gestion'!$AB$51="Leve"),CONCATENATE("R7C",'Riesgos gestion'!$P$51),"")</f>
        <v/>
      </c>
      <c r="M52" s="77" t="str">
        <f>IF(AND('Riesgos gestion'!$Z$52="Muy Baja",'Riesgos gestion'!$AB$52="Leve"),CONCATENATE("R7C",'Riesgos gestion'!$P$52),"")</f>
        <v/>
      </c>
      <c r="N52" s="77" t="str">
        <f>IF(AND('Riesgos gestion'!$Z$53="Muy Baja",'Riesgos gestion'!$AB$53="Leve"),CONCATENATE("R7C",'Riesgos gestion'!$P$53),"")</f>
        <v/>
      </c>
      <c r="O52" s="78" t="str">
        <f>IF(AND('Riesgos gestion'!$Z$54="Muy Baja",'Riesgos gestion'!$AB$54="Leve"),CONCATENATE("R7C",'Riesgos gestion'!$P$54),"")</f>
        <v/>
      </c>
      <c r="P52" s="76" t="str">
        <f>IF(AND('Riesgos gestion'!$Z$49="Muy Baja",'Riesgos gestion'!$AB$49="Menor"),CONCATENATE("R7C",'Riesgos gestion'!$P$49),"")</f>
        <v/>
      </c>
      <c r="Q52" s="77" t="str">
        <f>IF(AND('Riesgos gestion'!$Z$50="Muy Baja",'Riesgos gestion'!$AB$50="Menor"),CONCATENATE("R7C",'Riesgos gestion'!$P$50),"")</f>
        <v/>
      </c>
      <c r="R52" s="77" t="str">
        <f>IF(AND('Riesgos gestion'!$Z$51="Muy Baja",'Riesgos gestion'!$AB$51="Menor"),CONCATENATE("R7C",'Riesgos gestion'!$P$51),"")</f>
        <v/>
      </c>
      <c r="S52" s="77" t="str">
        <f>IF(AND('Riesgos gestion'!$Z$52="Muy Baja",'Riesgos gestion'!$AB$52="Menor"),CONCATENATE("R7C",'Riesgos gestion'!$P$52),"")</f>
        <v/>
      </c>
      <c r="T52" s="77" t="str">
        <f>IF(AND('Riesgos gestion'!$Z$53="Muy Baja",'Riesgos gestion'!$AB$53="Menor"),CONCATENATE("R7C",'Riesgos gestion'!$P$53),"")</f>
        <v/>
      </c>
      <c r="U52" s="78" t="str">
        <f>IF(AND('Riesgos gestion'!$Z$54="Muy Baja",'Riesgos gestion'!$AB$54="Menor"),CONCATENATE("R7C",'Riesgos gestion'!$P$54),"")</f>
        <v/>
      </c>
      <c r="V52" s="67" t="str">
        <f>IF(AND('Riesgos gestion'!$Z$49="Muy Baja",'Riesgos gestion'!$AB$49="Moderado"),CONCATENATE("R7C",'Riesgos gestion'!$P$49),"")</f>
        <v/>
      </c>
      <c r="W52" s="68" t="str">
        <f>IF(AND('Riesgos gestion'!$Z$50="Muy Baja",'Riesgos gestion'!$AB$50="Moderado"),CONCATENATE("R7C",'Riesgos gestion'!$P$50),"")</f>
        <v/>
      </c>
      <c r="X52" s="68" t="str">
        <f>IF(AND('Riesgos gestion'!$Z$51="Muy Baja",'Riesgos gestion'!$AB$51="Moderado"),CONCATENATE("R7C",'Riesgos gestion'!$P$51),"")</f>
        <v/>
      </c>
      <c r="Y52" s="68" t="str">
        <f>IF(AND('Riesgos gestion'!$Z$52="Muy Baja",'Riesgos gestion'!$AB$52="Moderado"),CONCATENATE("R7C",'Riesgos gestion'!$P$52),"")</f>
        <v/>
      </c>
      <c r="Z52" s="68" t="str">
        <f>IF(AND('Riesgos gestion'!$Z$53="Muy Baja",'Riesgos gestion'!$AB$53="Moderado"),CONCATENATE("R7C",'Riesgos gestion'!$P$53),"")</f>
        <v/>
      </c>
      <c r="AA52" s="69" t="str">
        <f>IF(AND('Riesgos gestion'!$Z$54="Muy Baja",'Riesgos gestion'!$AB$54="Moderado"),CONCATENATE("R7C",'Riesgos gestion'!$P$54),"")</f>
        <v/>
      </c>
      <c r="AB52" s="52" t="str">
        <f>IF(AND('Riesgos gestion'!$Z$49="Muy Baja",'Riesgos gestion'!$AB$49="Mayor"),CONCATENATE("R7C",'Riesgos gestion'!$P$49),"")</f>
        <v/>
      </c>
      <c r="AC52" s="53" t="str">
        <f>IF(AND('Riesgos gestion'!$Z$50="Muy Baja",'Riesgos gestion'!$AB$50="Mayor"),CONCATENATE("R7C",'Riesgos gestion'!$P$50),"")</f>
        <v/>
      </c>
      <c r="AD52" s="53" t="str">
        <f>IF(AND('Riesgos gestion'!$Z$51="Muy Baja",'Riesgos gestion'!$AB$51="Mayor"),CONCATENATE("R7C",'Riesgos gestion'!$P$51),"")</f>
        <v/>
      </c>
      <c r="AE52" s="53" t="str">
        <f>IF(AND('Riesgos gestion'!$Z$52="Muy Baja",'Riesgos gestion'!$AB$52="Mayor"),CONCATENATE("R7C",'Riesgos gestion'!$P$52),"")</f>
        <v/>
      </c>
      <c r="AF52" s="53" t="str">
        <f>IF(AND('Riesgos gestion'!$Z$53="Muy Baja",'Riesgos gestion'!$AB$53="Mayor"),CONCATENATE("R7C",'Riesgos gestion'!$P$53),"")</f>
        <v/>
      </c>
      <c r="AG52" s="54" t="str">
        <f>IF(AND('Riesgos gestion'!$Z$54="Muy Baja",'Riesgos gestion'!$AB$54="Mayor"),CONCATENATE("R7C",'Riesgos gestion'!$P$54),"")</f>
        <v/>
      </c>
      <c r="AH52" s="55" t="str">
        <f>IF(AND('Riesgos gestion'!$Z$49="Muy Baja",'Riesgos gestion'!$AB$49="Catastrófico"),CONCATENATE("R7C",'Riesgos gestion'!$P$49),"")</f>
        <v/>
      </c>
      <c r="AI52" s="56" t="str">
        <f>IF(AND('Riesgos gestion'!$Z$50="Muy Baja",'Riesgos gestion'!$AB$50="Catastrófico"),CONCATENATE("R7C",'Riesgos gestion'!$P$50),"")</f>
        <v/>
      </c>
      <c r="AJ52" s="56" t="str">
        <f>IF(AND('Riesgos gestion'!$Z$51="Muy Baja",'Riesgos gestion'!$AB$51="Catastrófico"),CONCATENATE("R7C",'Riesgos gestion'!$P$51),"")</f>
        <v/>
      </c>
      <c r="AK52" s="56" t="str">
        <f>IF(AND('Riesgos gestion'!$Z$52="Muy Baja",'Riesgos gestion'!$AB$52="Catastrófico"),CONCATENATE("R7C",'Riesgos gestion'!$P$52),"")</f>
        <v/>
      </c>
      <c r="AL52" s="56" t="str">
        <f>IF(AND('Riesgos gestion'!$Z$53="Muy Baja",'Riesgos gestion'!$AB$53="Catastrófico"),CONCATENATE("R7C",'Riesgos gestion'!$P$53),"")</f>
        <v/>
      </c>
      <c r="AM52" s="57" t="str">
        <f>IF(AND('Riesgos gestion'!$Z$54="Muy Baja",'Riesgos gestion'!$AB$54="Catastrófico"),CONCATENATE("R7C",'Riesgos gestion'!$P$54),"")</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
      <c r="A53" s="83"/>
      <c r="B53" s="571"/>
      <c r="C53" s="571"/>
      <c r="D53" s="572"/>
      <c r="E53" s="612"/>
      <c r="F53" s="613"/>
      <c r="G53" s="613"/>
      <c r="H53" s="613"/>
      <c r="I53" s="614"/>
      <c r="J53" s="76" t="str">
        <f>IF(AND('Riesgos gestion'!$Z$55="Muy Baja",'Riesgos gestion'!$AB$55="Leve"),CONCATENATE("R8C",'Riesgos gestion'!$P$55),"")</f>
        <v/>
      </c>
      <c r="K53" s="77" t="str">
        <f>IF(AND('Riesgos gestion'!$Z$56="Muy Baja",'Riesgos gestion'!$AB$56="Leve"),CONCATENATE("R8C",'Riesgos gestion'!$P$56),"")</f>
        <v/>
      </c>
      <c r="L53" s="77" t="str">
        <f>IF(AND('Riesgos gestion'!$Z$57="Muy Baja",'Riesgos gestion'!$AB$57="Leve"),CONCATENATE("R8C",'Riesgos gestion'!$P$57),"")</f>
        <v/>
      </c>
      <c r="M53" s="77" t="str">
        <f>IF(AND('Riesgos gestion'!$Z$58="Muy Baja",'Riesgos gestion'!$AB$58="Leve"),CONCATENATE("R8C",'Riesgos gestion'!$P$58),"")</f>
        <v/>
      </c>
      <c r="N53" s="77" t="str">
        <f>IF(AND('Riesgos gestion'!$Z$59="Muy Baja",'Riesgos gestion'!$AB$59="Leve"),CONCATENATE("R8C",'Riesgos gestion'!$P$59),"")</f>
        <v/>
      </c>
      <c r="O53" s="78" t="str">
        <f>IF(AND('Riesgos gestion'!$Z$60="Muy Baja",'Riesgos gestion'!$AB$60="Leve"),CONCATENATE("R8C",'Riesgos gestion'!$P$60),"")</f>
        <v/>
      </c>
      <c r="P53" s="76" t="str">
        <f>IF(AND('Riesgos gestion'!$Z$55="Muy Baja",'Riesgos gestion'!$AB$55="Menor"),CONCATENATE("R8C",'Riesgos gestion'!$P$55),"")</f>
        <v/>
      </c>
      <c r="Q53" s="77" t="str">
        <f>IF(AND('Riesgos gestion'!$Z$56="Muy Baja",'Riesgos gestion'!$AB$56="Menor"),CONCATENATE("R8C",'Riesgos gestion'!$P$56),"")</f>
        <v/>
      </c>
      <c r="R53" s="77" t="str">
        <f>IF(AND('Riesgos gestion'!$Z$57="Muy Baja",'Riesgos gestion'!$AB$57="Menor"),CONCATENATE("R8C",'Riesgos gestion'!$P$57),"")</f>
        <v/>
      </c>
      <c r="S53" s="77" t="str">
        <f>IF(AND('Riesgos gestion'!$Z$58="Muy Baja",'Riesgos gestion'!$AB$58="Menor"),CONCATENATE("R8C",'Riesgos gestion'!$P$58),"")</f>
        <v/>
      </c>
      <c r="T53" s="77" t="str">
        <f>IF(AND('Riesgos gestion'!$Z$59="Muy Baja",'Riesgos gestion'!$AB$59="Menor"),CONCATENATE("R8C",'Riesgos gestion'!$P$59),"")</f>
        <v/>
      </c>
      <c r="U53" s="78" t="str">
        <f>IF(AND('Riesgos gestion'!$Z$60="Muy Baja",'Riesgos gestion'!$AB$60="Menor"),CONCATENATE("R8C",'Riesgos gestion'!$P$60),"")</f>
        <v/>
      </c>
      <c r="V53" s="67" t="str">
        <f>IF(AND('Riesgos gestion'!$Z$55="Muy Baja",'Riesgos gestion'!$AB$55="Moderado"),CONCATENATE("R8C",'Riesgos gestion'!$P$55),"")</f>
        <v/>
      </c>
      <c r="W53" s="68" t="str">
        <f>IF(AND('Riesgos gestion'!$Z$56="Muy Baja",'Riesgos gestion'!$AB$56="Moderado"),CONCATENATE("R8C",'Riesgos gestion'!$P$56),"")</f>
        <v/>
      </c>
      <c r="X53" s="68" t="str">
        <f>IF(AND('Riesgos gestion'!$Z$57="Muy Baja",'Riesgos gestion'!$AB$57="Moderado"),CONCATENATE("R8C",'Riesgos gestion'!$P$57),"")</f>
        <v/>
      </c>
      <c r="Y53" s="68" t="str">
        <f>IF(AND('Riesgos gestion'!$Z$58="Muy Baja",'Riesgos gestion'!$AB$58="Moderado"),CONCATENATE("R8C",'Riesgos gestion'!$P$58),"")</f>
        <v/>
      </c>
      <c r="Z53" s="68" t="str">
        <f>IF(AND('Riesgos gestion'!$Z$59="Muy Baja",'Riesgos gestion'!$AB$59="Moderado"),CONCATENATE("R8C",'Riesgos gestion'!$P$59),"")</f>
        <v/>
      </c>
      <c r="AA53" s="69" t="str">
        <f>IF(AND('Riesgos gestion'!$Z$60="Muy Baja",'Riesgos gestion'!$AB$60="Moderado"),CONCATENATE("R8C",'Riesgos gestion'!$P$60),"")</f>
        <v/>
      </c>
      <c r="AB53" s="52" t="str">
        <f>IF(AND('Riesgos gestion'!$Z$55="Muy Baja",'Riesgos gestion'!$AB$55="Mayor"),CONCATENATE("R8C",'Riesgos gestion'!$P$55),"")</f>
        <v/>
      </c>
      <c r="AC53" s="53" t="str">
        <f>IF(AND('Riesgos gestion'!$Z$56="Muy Baja",'Riesgos gestion'!$AB$56="Mayor"),CONCATENATE("R8C",'Riesgos gestion'!$P$56),"")</f>
        <v/>
      </c>
      <c r="AD53" s="53" t="str">
        <f>IF(AND('Riesgos gestion'!$Z$57="Muy Baja",'Riesgos gestion'!$AB$57="Mayor"),CONCATENATE("R8C",'Riesgos gestion'!$P$57),"")</f>
        <v/>
      </c>
      <c r="AE53" s="53" t="str">
        <f>IF(AND('Riesgos gestion'!$Z$58="Muy Baja",'Riesgos gestion'!$AB$58="Mayor"),CONCATENATE("R8C",'Riesgos gestion'!$P$58),"")</f>
        <v/>
      </c>
      <c r="AF53" s="53" t="str">
        <f>IF(AND('Riesgos gestion'!$Z$59="Muy Baja",'Riesgos gestion'!$AB$59="Mayor"),CONCATENATE("R8C",'Riesgos gestion'!$P$59),"")</f>
        <v/>
      </c>
      <c r="AG53" s="54" t="str">
        <f>IF(AND('Riesgos gestion'!$Z$60="Muy Baja",'Riesgos gestion'!$AB$60="Mayor"),CONCATENATE("R8C",'Riesgos gestion'!$P$60),"")</f>
        <v/>
      </c>
      <c r="AH53" s="55" t="str">
        <f>IF(AND('Riesgos gestion'!$Z$55="Muy Baja",'Riesgos gestion'!$AB$55="Catastrófico"),CONCATENATE("R8C",'Riesgos gestion'!$P$55),"")</f>
        <v/>
      </c>
      <c r="AI53" s="56" t="str">
        <f>IF(AND('Riesgos gestion'!$Z$56="Muy Baja",'Riesgos gestion'!$AB$56="Catastrófico"),CONCATENATE("R8C",'Riesgos gestion'!$P$56),"")</f>
        <v/>
      </c>
      <c r="AJ53" s="56" t="str">
        <f>IF(AND('Riesgos gestion'!$Z$57="Muy Baja",'Riesgos gestion'!$AB$57="Catastrófico"),CONCATENATE("R8C",'Riesgos gestion'!$P$57),"")</f>
        <v/>
      </c>
      <c r="AK53" s="56" t="str">
        <f>IF(AND('Riesgos gestion'!$Z$58="Muy Baja",'Riesgos gestion'!$AB$58="Catastrófico"),CONCATENATE("R8C",'Riesgos gestion'!$P$58),"")</f>
        <v/>
      </c>
      <c r="AL53" s="56" t="str">
        <f>IF(AND('Riesgos gestion'!$Z$59="Muy Baja",'Riesgos gestion'!$AB$59="Catastrófico"),CONCATENATE("R8C",'Riesgos gestion'!$P$59),"")</f>
        <v/>
      </c>
      <c r="AM53" s="57" t="str">
        <f>IF(AND('Riesgos gestion'!$Z$60="Muy Baja",'Riesgos gestion'!$AB$60="Catastrófico"),CONCATENATE("R8C",'Riesgos gestion'!$P$60),"")</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
      <c r="A54" s="83"/>
      <c r="B54" s="571"/>
      <c r="C54" s="571"/>
      <c r="D54" s="572"/>
      <c r="E54" s="612"/>
      <c r="F54" s="613"/>
      <c r="G54" s="613"/>
      <c r="H54" s="613"/>
      <c r="I54" s="614"/>
      <c r="J54" s="76" t="str">
        <f>IF(AND('Riesgos gestion'!$Z$61="Muy Baja",'Riesgos gestion'!$AB$61="Leve"),CONCATENATE("R9C",'Riesgos gestion'!$P$61),"")</f>
        <v/>
      </c>
      <c r="K54" s="77" t="str">
        <f>IF(AND('Riesgos gestion'!$Z$62="Muy Baja",'Riesgos gestion'!$AB$62="Leve"),CONCATENATE("R9C",'Riesgos gestion'!$P$62),"")</f>
        <v/>
      </c>
      <c r="L54" s="77" t="str">
        <f>IF(AND('Riesgos gestion'!$Z$63="Muy Baja",'Riesgos gestion'!$AB$63="Leve"),CONCATENATE("R9C",'Riesgos gestion'!$P$63),"")</f>
        <v/>
      </c>
      <c r="M54" s="77" t="str">
        <f>IF(AND('Riesgos gestion'!$Z$64="Muy Baja",'Riesgos gestion'!$AB$64="Leve"),CONCATENATE("R9C",'Riesgos gestion'!$P$64),"")</f>
        <v/>
      </c>
      <c r="N54" s="77" t="str">
        <f>IF(AND('Riesgos gestion'!$Z$65="Muy Baja",'Riesgos gestion'!$AB$65="Leve"),CONCATENATE("R9C",'Riesgos gestion'!$P$65),"")</f>
        <v/>
      </c>
      <c r="O54" s="78" t="str">
        <f>IF(AND('Riesgos gestion'!$Z$66="Muy Baja",'Riesgos gestion'!$AB$66="Leve"),CONCATENATE("R9C",'Riesgos gestion'!$P$66),"")</f>
        <v/>
      </c>
      <c r="P54" s="76" t="str">
        <f>IF(AND('Riesgos gestion'!$Z$61="Muy Baja",'Riesgos gestion'!$AB$61="Menor"),CONCATENATE("R9C",'Riesgos gestion'!$P$61),"")</f>
        <v/>
      </c>
      <c r="Q54" s="77" t="str">
        <f>IF(AND('Riesgos gestion'!$Z$62="Muy Baja",'Riesgos gestion'!$AB$62="Menor"),CONCATENATE("R9C",'Riesgos gestion'!$P$62),"")</f>
        <v/>
      </c>
      <c r="R54" s="77" t="str">
        <f>IF(AND('Riesgos gestion'!$Z$63="Muy Baja",'Riesgos gestion'!$AB$63="Menor"),CONCATENATE("R9C",'Riesgos gestion'!$P$63),"")</f>
        <v/>
      </c>
      <c r="S54" s="77" t="str">
        <f>IF(AND('Riesgos gestion'!$Z$64="Muy Baja",'Riesgos gestion'!$AB$64="Menor"),CONCATENATE("R9C",'Riesgos gestion'!$P$64),"")</f>
        <v/>
      </c>
      <c r="T54" s="77" t="str">
        <f>IF(AND('Riesgos gestion'!$Z$65="Muy Baja",'Riesgos gestion'!$AB$65="Menor"),CONCATENATE("R9C",'Riesgos gestion'!$P$65),"")</f>
        <v/>
      </c>
      <c r="U54" s="78" t="str">
        <f>IF(AND('Riesgos gestion'!$Z$66="Muy Baja",'Riesgos gestion'!$AB$66="Menor"),CONCATENATE("R9C",'Riesgos gestion'!$P$66),"")</f>
        <v/>
      </c>
      <c r="V54" s="67" t="str">
        <f>IF(AND('Riesgos gestion'!$Z$61="Muy Baja",'Riesgos gestion'!$AB$61="Moderado"),CONCATENATE("R9C",'Riesgos gestion'!$P$61),"")</f>
        <v/>
      </c>
      <c r="W54" s="68" t="str">
        <f>IF(AND('Riesgos gestion'!$Z$62="Muy Baja",'Riesgos gestion'!$AB$62="Moderado"),CONCATENATE("R9C",'Riesgos gestion'!$P$62),"")</f>
        <v/>
      </c>
      <c r="X54" s="68" t="str">
        <f>IF(AND('Riesgos gestion'!$Z$63="Muy Baja",'Riesgos gestion'!$AB$63="Moderado"),CONCATENATE("R9C",'Riesgos gestion'!$P$63),"")</f>
        <v/>
      </c>
      <c r="Y54" s="68" t="str">
        <f>IF(AND('Riesgos gestion'!$Z$64="Muy Baja",'Riesgos gestion'!$AB$64="Moderado"),CONCATENATE("R9C",'Riesgos gestion'!$P$64),"")</f>
        <v/>
      </c>
      <c r="Z54" s="68" t="str">
        <f>IF(AND('Riesgos gestion'!$Z$65="Muy Baja",'Riesgos gestion'!$AB$65="Moderado"),CONCATENATE("R9C",'Riesgos gestion'!$P$65),"")</f>
        <v/>
      </c>
      <c r="AA54" s="69" t="str">
        <f>IF(AND('Riesgos gestion'!$Z$66="Muy Baja",'Riesgos gestion'!$AB$66="Moderado"),CONCATENATE("R9C",'Riesgos gestion'!$P$66),"")</f>
        <v/>
      </c>
      <c r="AB54" s="52" t="str">
        <f>IF(AND('Riesgos gestion'!$Z$61="Muy Baja",'Riesgos gestion'!$AB$61="Mayor"),CONCATENATE("R9C",'Riesgos gestion'!$P$61),"")</f>
        <v/>
      </c>
      <c r="AC54" s="53" t="str">
        <f>IF(AND('Riesgos gestion'!$Z$62="Muy Baja",'Riesgos gestion'!$AB$62="Mayor"),CONCATENATE("R9C",'Riesgos gestion'!$P$62),"")</f>
        <v/>
      </c>
      <c r="AD54" s="53" t="str">
        <f>IF(AND('Riesgos gestion'!$Z$63="Muy Baja",'Riesgos gestion'!$AB$63="Mayor"),CONCATENATE("R9C",'Riesgos gestion'!$P$63),"")</f>
        <v/>
      </c>
      <c r="AE54" s="53" t="str">
        <f>IF(AND('Riesgos gestion'!$Z$64="Muy Baja",'Riesgos gestion'!$AB$64="Mayor"),CONCATENATE("R9C",'Riesgos gestion'!$P$64),"")</f>
        <v/>
      </c>
      <c r="AF54" s="53" t="str">
        <f>IF(AND('Riesgos gestion'!$Z$65="Muy Baja",'Riesgos gestion'!$AB$65="Mayor"),CONCATENATE("R9C",'Riesgos gestion'!$P$65),"")</f>
        <v/>
      </c>
      <c r="AG54" s="54" t="str">
        <f>IF(AND('Riesgos gestion'!$Z$66="Muy Baja",'Riesgos gestion'!$AB$66="Mayor"),CONCATENATE("R9C",'Riesgos gestion'!$P$66),"")</f>
        <v/>
      </c>
      <c r="AH54" s="55" t="str">
        <f>IF(AND('Riesgos gestion'!$Z$61="Muy Baja",'Riesgos gestion'!$AB$61="Catastrófico"),CONCATENATE("R9C",'Riesgos gestion'!$P$61),"")</f>
        <v/>
      </c>
      <c r="AI54" s="56" t="str">
        <f>IF(AND('Riesgos gestion'!$Z$62="Muy Baja",'Riesgos gestion'!$AB$62="Catastrófico"),CONCATENATE("R9C",'Riesgos gestion'!$P$62),"")</f>
        <v/>
      </c>
      <c r="AJ54" s="56" t="str">
        <f>IF(AND('Riesgos gestion'!$Z$63="Muy Baja",'Riesgos gestion'!$AB$63="Catastrófico"),CONCATENATE("R9C",'Riesgos gestion'!$P$63),"")</f>
        <v/>
      </c>
      <c r="AK54" s="56" t="str">
        <f>IF(AND('Riesgos gestion'!$Z$64="Muy Baja",'Riesgos gestion'!$AB$64="Catastrófico"),CONCATENATE("R9C",'Riesgos gestion'!$P$64),"")</f>
        <v/>
      </c>
      <c r="AL54" s="56" t="str">
        <f>IF(AND('Riesgos gestion'!$Z$65="Muy Baja",'Riesgos gestion'!$AB$65="Catastrófico"),CONCATENATE("R9C",'Riesgos gestion'!$P$65),"")</f>
        <v/>
      </c>
      <c r="AM54" s="57" t="str">
        <f>IF(AND('Riesgos gestion'!$Z$66="Muy Baja",'Riesgos gestion'!$AB$66="Catastrófico"),CONCATENATE("R9C",'Riesgos gestion'!$P$66),"")</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5">
      <c r="A55" s="83"/>
      <c r="B55" s="571"/>
      <c r="C55" s="571"/>
      <c r="D55" s="572"/>
      <c r="E55" s="615"/>
      <c r="F55" s="616"/>
      <c r="G55" s="616"/>
      <c r="H55" s="616"/>
      <c r="I55" s="617"/>
      <c r="J55" s="79" t="str">
        <f>IF(AND('Riesgos gestion'!$Z$67="Muy Baja",'Riesgos gestion'!$AB$67="Leve"),CONCATENATE("R10C",'Riesgos gestion'!$P$67),"")</f>
        <v/>
      </c>
      <c r="K55" s="80" t="str">
        <f>IF(AND('Riesgos gestion'!$Z$68="Muy Baja",'Riesgos gestion'!$AB$68="Leve"),CONCATENATE("R10C",'Riesgos gestion'!$P$68),"")</f>
        <v/>
      </c>
      <c r="L55" s="80" t="str">
        <f>IF(AND('Riesgos gestion'!$Z$69="Muy Baja",'Riesgos gestion'!$AB$69="Leve"),CONCATENATE("R10C",'Riesgos gestion'!$P$69),"")</f>
        <v/>
      </c>
      <c r="M55" s="80" t="str">
        <f>IF(AND('Riesgos gestion'!$Z$70="Muy Baja",'Riesgos gestion'!$AB$70="Leve"),CONCATENATE("R10C",'Riesgos gestion'!$P$70),"")</f>
        <v/>
      </c>
      <c r="N55" s="80" t="str">
        <f>IF(AND('Riesgos gestion'!$Z$71="Muy Baja",'Riesgos gestion'!$AB$71="Leve"),CONCATENATE("R10C",'Riesgos gestion'!$P$71),"")</f>
        <v/>
      </c>
      <c r="O55" s="81" t="str">
        <f>IF(AND('Riesgos gestion'!$Z$72="Muy Baja",'Riesgos gestion'!$AB$72="Leve"),CONCATENATE("R10C",'Riesgos gestion'!$P$72),"")</f>
        <v/>
      </c>
      <c r="P55" s="79" t="str">
        <f>IF(AND('Riesgos gestion'!$Z$67="Muy Baja",'Riesgos gestion'!$AB$67="Menor"),CONCATENATE("R10C",'Riesgos gestion'!$P$67),"")</f>
        <v/>
      </c>
      <c r="Q55" s="80" t="str">
        <f>IF(AND('Riesgos gestion'!$Z$68="Muy Baja",'Riesgos gestion'!$AB$68="Menor"),CONCATENATE("R10C",'Riesgos gestion'!$P$68),"")</f>
        <v/>
      </c>
      <c r="R55" s="80" t="str">
        <f>IF(AND('Riesgos gestion'!$Z$69="Muy Baja",'Riesgos gestion'!$AB$69="Menor"),CONCATENATE("R10C",'Riesgos gestion'!$P$69),"")</f>
        <v/>
      </c>
      <c r="S55" s="80" t="str">
        <f>IF(AND('Riesgos gestion'!$Z$70="Muy Baja",'Riesgos gestion'!$AB$70="Menor"),CONCATENATE("R10C",'Riesgos gestion'!$P$70),"")</f>
        <v/>
      </c>
      <c r="T55" s="80" t="str">
        <f>IF(AND('Riesgos gestion'!$Z$71="Muy Baja",'Riesgos gestion'!$AB$71="Menor"),CONCATENATE("R10C",'Riesgos gestion'!$P$71),"")</f>
        <v/>
      </c>
      <c r="U55" s="81" t="str">
        <f>IF(AND('Riesgos gestion'!$Z$72="Muy Baja",'Riesgos gestion'!$AB$72="Menor"),CONCATENATE("R10C",'Riesgos gestion'!$P$72),"")</f>
        <v/>
      </c>
      <c r="V55" s="70" t="str">
        <f>IF(AND('Riesgos gestion'!$Z$67="Muy Baja",'Riesgos gestion'!$AB$67="Moderado"),CONCATENATE("R10C",'Riesgos gestion'!$P$67),"")</f>
        <v/>
      </c>
      <c r="W55" s="71" t="str">
        <f>IF(AND('Riesgos gestion'!$Z$68="Muy Baja",'Riesgos gestion'!$AB$68="Moderado"),CONCATENATE("R10C",'Riesgos gestion'!$P$68),"")</f>
        <v/>
      </c>
      <c r="X55" s="71" t="str">
        <f>IF(AND('Riesgos gestion'!$Z$69="Muy Baja",'Riesgos gestion'!$AB$69="Moderado"),CONCATENATE("R10C",'Riesgos gestion'!$P$69),"")</f>
        <v/>
      </c>
      <c r="Y55" s="71" t="str">
        <f>IF(AND('Riesgos gestion'!$Z$70="Muy Baja",'Riesgos gestion'!$AB$70="Moderado"),CONCATENATE("R10C",'Riesgos gestion'!$P$70),"")</f>
        <v/>
      </c>
      <c r="Z55" s="71" t="str">
        <f>IF(AND('Riesgos gestion'!$Z$71="Muy Baja",'Riesgos gestion'!$AB$71="Moderado"),CONCATENATE("R10C",'Riesgos gestion'!$P$71),"")</f>
        <v/>
      </c>
      <c r="AA55" s="72" t="str">
        <f>IF(AND('Riesgos gestion'!$Z$72="Muy Baja",'Riesgos gestion'!$AB$72="Moderado"),CONCATENATE("R10C",'Riesgos gestion'!$P$72),"")</f>
        <v/>
      </c>
      <c r="AB55" s="58" t="str">
        <f>IF(AND('Riesgos gestion'!$Z$67="Muy Baja",'Riesgos gestion'!$AB$67="Mayor"),CONCATENATE("R10C",'Riesgos gestion'!$P$67),"")</f>
        <v/>
      </c>
      <c r="AC55" s="59" t="str">
        <f>IF(AND('Riesgos gestion'!$Z$68="Muy Baja",'Riesgos gestion'!$AB$68="Mayor"),CONCATENATE("R10C",'Riesgos gestion'!$P$68),"")</f>
        <v/>
      </c>
      <c r="AD55" s="59" t="str">
        <f>IF(AND('Riesgos gestion'!$Z$69="Muy Baja",'Riesgos gestion'!$AB$69="Mayor"),CONCATENATE("R10C",'Riesgos gestion'!$P$69),"")</f>
        <v/>
      </c>
      <c r="AE55" s="59" t="str">
        <f>IF(AND('Riesgos gestion'!$Z$70="Muy Baja",'Riesgos gestion'!$AB$70="Mayor"),CONCATENATE("R10C",'Riesgos gestion'!$P$70),"")</f>
        <v/>
      </c>
      <c r="AF55" s="59" t="str">
        <f>IF(AND('Riesgos gestion'!$Z$71="Muy Baja",'Riesgos gestion'!$AB$71="Mayor"),CONCATENATE("R10C",'Riesgos gestion'!$P$71),"")</f>
        <v/>
      </c>
      <c r="AG55" s="60" t="str">
        <f>IF(AND('Riesgos gestion'!$Z$72="Muy Baja",'Riesgos gestion'!$AB$72="Mayor"),CONCATENATE("R10C",'Riesgos gestion'!$P$72),"")</f>
        <v/>
      </c>
      <c r="AH55" s="61" t="str">
        <f>IF(AND('Riesgos gestion'!$Z$67="Muy Baja",'Riesgos gestion'!$AB$67="Catastrófico"),CONCATENATE("R10C",'Riesgos gestion'!$P$67),"")</f>
        <v/>
      </c>
      <c r="AI55" s="62" t="str">
        <f>IF(AND('Riesgos gestion'!$Z$68="Muy Baja",'Riesgos gestion'!$AB$68="Catastrófico"),CONCATENATE("R10C",'Riesgos gestion'!$P$68),"")</f>
        <v/>
      </c>
      <c r="AJ55" s="62" t="str">
        <f>IF(AND('Riesgos gestion'!$Z$69="Muy Baja",'Riesgos gestion'!$AB$69="Catastrófico"),CONCATENATE("R10C",'Riesgos gestion'!$P$69),"")</f>
        <v/>
      </c>
      <c r="AK55" s="62" t="str">
        <f>IF(AND('Riesgos gestion'!$Z$70="Muy Baja",'Riesgos gestion'!$AB$70="Catastrófico"),CONCATENATE("R10C",'Riesgos gestion'!$P$70),"")</f>
        <v/>
      </c>
      <c r="AL55" s="62" t="str">
        <f>IF(AND('Riesgos gestion'!$Z$71="Muy Baja",'Riesgos gestion'!$AB$71="Catastrófico"),CONCATENATE("R10C",'Riesgos gestion'!$P$71),"")</f>
        <v/>
      </c>
      <c r="AM55" s="63" t="str">
        <f>IF(AND('Riesgos gestion'!$Z$72="Muy Baja",'Riesgos gestion'!$AB$72="Catastrófico"),CONCATENATE("R10C",'Riesgos gestion'!$P$72),"")</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
      <c r="A56" s="83"/>
      <c r="B56" s="83"/>
      <c r="C56" s="83"/>
      <c r="D56" s="83"/>
      <c r="E56" s="83"/>
      <c r="F56" s="83"/>
      <c r="G56" s="83"/>
      <c r="H56" s="83"/>
      <c r="I56" s="83"/>
      <c r="J56" s="609" t="s">
        <v>325</v>
      </c>
      <c r="K56" s="610"/>
      <c r="L56" s="610"/>
      <c r="M56" s="610"/>
      <c r="N56" s="610"/>
      <c r="O56" s="611"/>
      <c r="P56" s="609" t="s">
        <v>326</v>
      </c>
      <c r="Q56" s="610"/>
      <c r="R56" s="610"/>
      <c r="S56" s="610"/>
      <c r="T56" s="610"/>
      <c r="U56" s="611"/>
      <c r="V56" s="609" t="s">
        <v>327</v>
      </c>
      <c r="W56" s="610"/>
      <c r="X56" s="610"/>
      <c r="Y56" s="610"/>
      <c r="Z56" s="610"/>
      <c r="AA56" s="611"/>
      <c r="AB56" s="609" t="s">
        <v>328</v>
      </c>
      <c r="AC56" s="618"/>
      <c r="AD56" s="610"/>
      <c r="AE56" s="610"/>
      <c r="AF56" s="610"/>
      <c r="AG56" s="611"/>
      <c r="AH56" s="609" t="s">
        <v>329</v>
      </c>
      <c r="AI56" s="610"/>
      <c r="AJ56" s="610"/>
      <c r="AK56" s="610"/>
      <c r="AL56" s="610"/>
      <c r="AM56" s="611"/>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
      <c r="A57" s="83"/>
      <c r="B57" s="83"/>
      <c r="C57" s="83"/>
      <c r="D57" s="83"/>
      <c r="E57" s="83"/>
      <c r="F57" s="83"/>
      <c r="G57" s="83"/>
      <c r="H57" s="83"/>
      <c r="I57" s="83"/>
      <c r="J57" s="612"/>
      <c r="K57" s="613"/>
      <c r="L57" s="613"/>
      <c r="M57" s="613"/>
      <c r="N57" s="613"/>
      <c r="O57" s="614"/>
      <c r="P57" s="612"/>
      <c r="Q57" s="613"/>
      <c r="R57" s="613"/>
      <c r="S57" s="613"/>
      <c r="T57" s="613"/>
      <c r="U57" s="614"/>
      <c r="V57" s="612"/>
      <c r="W57" s="613"/>
      <c r="X57" s="613"/>
      <c r="Y57" s="613"/>
      <c r="Z57" s="613"/>
      <c r="AA57" s="614"/>
      <c r="AB57" s="612"/>
      <c r="AC57" s="613"/>
      <c r="AD57" s="613"/>
      <c r="AE57" s="613"/>
      <c r="AF57" s="613"/>
      <c r="AG57" s="614"/>
      <c r="AH57" s="612"/>
      <c r="AI57" s="613"/>
      <c r="AJ57" s="613"/>
      <c r="AK57" s="613"/>
      <c r="AL57" s="613"/>
      <c r="AM57" s="614"/>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
      <c r="A58" s="83"/>
      <c r="B58" s="83"/>
      <c r="C58" s="83"/>
      <c r="D58" s="83"/>
      <c r="E58" s="83"/>
      <c r="F58" s="83"/>
      <c r="G58" s="83"/>
      <c r="H58" s="83"/>
      <c r="I58" s="83"/>
      <c r="J58" s="612"/>
      <c r="K58" s="613"/>
      <c r="L58" s="613"/>
      <c r="M58" s="613"/>
      <c r="N58" s="613"/>
      <c r="O58" s="614"/>
      <c r="P58" s="612"/>
      <c r="Q58" s="613"/>
      <c r="R58" s="613"/>
      <c r="S58" s="613"/>
      <c r="T58" s="613"/>
      <c r="U58" s="614"/>
      <c r="V58" s="612"/>
      <c r="W58" s="613"/>
      <c r="X58" s="613"/>
      <c r="Y58" s="613"/>
      <c r="Z58" s="613"/>
      <c r="AA58" s="614"/>
      <c r="AB58" s="612"/>
      <c r="AC58" s="613"/>
      <c r="AD58" s="613"/>
      <c r="AE58" s="613"/>
      <c r="AF58" s="613"/>
      <c r="AG58" s="614"/>
      <c r="AH58" s="612"/>
      <c r="AI58" s="613"/>
      <c r="AJ58" s="613"/>
      <c r="AK58" s="613"/>
      <c r="AL58" s="613"/>
      <c r="AM58" s="614"/>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
      <c r="A59" s="83"/>
      <c r="B59" s="83"/>
      <c r="C59" s="83"/>
      <c r="D59" s="83"/>
      <c r="E59" s="83"/>
      <c r="F59" s="83"/>
      <c r="G59" s="83"/>
      <c r="H59" s="83"/>
      <c r="I59" s="83"/>
      <c r="J59" s="612"/>
      <c r="K59" s="613"/>
      <c r="L59" s="613"/>
      <c r="M59" s="613"/>
      <c r="N59" s="613"/>
      <c r="O59" s="614"/>
      <c r="P59" s="612"/>
      <c r="Q59" s="613"/>
      <c r="R59" s="613"/>
      <c r="S59" s="613"/>
      <c r="T59" s="613"/>
      <c r="U59" s="614"/>
      <c r="V59" s="612"/>
      <c r="W59" s="613"/>
      <c r="X59" s="613"/>
      <c r="Y59" s="613"/>
      <c r="Z59" s="613"/>
      <c r="AA59" s="614"/>
      <c r="AB59" s="612"/>
      <c r="AC59" s="613"/>
      <c r="AD59" s="613"/>
      <c r="AE59" s="613"/>
      <c r="AF59" s="613"/>
      <c r="AG59" s="614"/>
      <c r="AH59" s="612"/>
      <c r="AI59" s="613"/>
      <c r="AJ59" s="613"/>
      <c r="AK59" s="613"/>
      <c r="AL59" s="613"/>
      <c r="AM59" s="614"/>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
      <c r="A60" s="83"/>
      <c r="B60" s="83"/>
      <c r="C60" s="83"/>
      <c r="D60" s="83"/>
      <c r="E60" s="83"/>
      <c r="F60" s="83"/>
      <c r="G60" s="83"/>
      <c r="H60" s="83"/>
      <c r="I60" s="83"/>
      <c r="J60" s="612"/>
      <c r="K60" s="613"/>
      <c r="L60" s="613"/>
      <c r="M60" s="613"/>
      <c r="N60" s="613"/>
      <c r="O60" s="614"/>
      <c r="P60" s="612"/>
      <c r="Q60" s="613"/>
      <c r="R60" s="613"/>
      <c r="S60" s="613"/>
      <c r="T60" s="613"/>
      <c r="U60" s="614"/>
      <c r="V60" s="612"/>
      <c r="W60" s="613"/>
      <c r="X60" s="613"/>
      <c r="Y60" s="613"/>
      <c r="Z60" s="613"/>
      <c r="AA60" s="614"/>
      <c r="AB60" s="612"/>
      <c r="AC60" s="613"/>
      <c r="AD60" s="613"/>
      <c r="AE60" s="613"/>
      <c r="AF60" s="613"/>
      <c r="AG60" s="614"/>
      <c r="AH60" s="612"/>
      <c r="AI60" s="613"/>
      <c r="AJ60" s="613"/>
      <c r="AK60" s="613"/>
      <c r="AL60" s="613"/>
      <c r="AM60" s="614"/>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 thickBot="1" x14ac:dyDescent="0.35">
      <c r="A61" s="83"/>
      <c r="B61" s="83"/>
      <c r="C61" s="83"/>
      <c r="D61" s="83"/>
      <c r="E61" s="83"/>
      <c r="F61" s="83"/>
      <c r="G61" s="83"/>
      <c r="H61" s="83"/>
      <c r="I61" s="83"/>
      <c r="J61" s="615"/>
      <c r="K61" s="616"/>
      <c r="L61" s="616"/>
      <c r="M61" s="616"/>
      <c r="N61" s="616"/>
      <c r="O61" s="617"/>
      <c r="P61" s="615"/>
      <c r="Q61" s="616"/>
      <c r="R61" s="616"/>
      <c r="S61" s="616"/>
      <c r="T61" s="616"/>
      <c r="U61" s="617"/>
      <c r="V61" s="615"/>
      <c r="W61" s="616"/>
      <c r="X61" s="616"/>
      <c r="Y61" s="616"/>
      <c r="Z61" s="616"/>
      <c r="AA61" s="617"/>
      <c r="AB61" s="615"/>
      <c r="AC61" s="616"/>
      <c r="AD61" s="616"/>
      <c r="AE61" s="616"/>
      <c r="AF61" s="616"/>
      <c r="AG61" s="617"/>
      <c r="AH61" s="615"/>
      <c r="AI61" s="616"/>
      <c r="AJ61" s="616"/>
      <c r="AK61" s="616"/>
      <c r="AL61" s="616"/>
      <c r="AM61" s="617"/>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3">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3">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3">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3">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3">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3">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3">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3">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3">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3">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3">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3">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3">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3">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3">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3">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3">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3">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3">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3">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3">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3">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3">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3">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3">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3">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3">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3">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3">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3">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3">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3">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3">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3">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3">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3">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3">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3">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3">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3">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3">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3">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3">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3">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3">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3">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3">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3">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3">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3">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3">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3">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3">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3">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3">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3">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3">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3">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3">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3">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3">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3">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3">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3">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3">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3">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3">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3">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3">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3">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3">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3">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3">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3">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3">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3">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3">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3">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3">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3">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3">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3">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3">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3">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3">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3">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3">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3">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3">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3">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3">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3">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3">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3">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3">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3">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3">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3">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3">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3">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3">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3">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3">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3">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3">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3">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3">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3">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3">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3">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3">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3">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3">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3">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3">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3">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3">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3">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3">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3">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3">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3">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3">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3">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3">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3">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3">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3">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3">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3">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3">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3">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3">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3">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3">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3">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3">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3">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3">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3">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3">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3">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3">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3">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3">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3">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3">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3">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3">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3">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3">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3">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3">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3">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3">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3">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3">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3">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3">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3">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3">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3">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3">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3">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3">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3">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3">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3">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3">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3">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3">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3">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3">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3">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3">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3">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3">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3">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3">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3">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3">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3">
      <c r="A245" s="83"/>
    </row>
    <row r="246" spans="1:60" x14ac:dyDescent="0.3">
      <c r="A246" s="83"/>
    </row>
    <row r="247" spans="1:60" x14ac:dyDescent="0.3">
      <c r="A247" s="83"/>
    </row>
    <row r="248" spans="1:60" x14ac:dyDescent="0.3">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K55"/>
  <sheetViews>
    <sheetView zoomScale="90" zoomScaleNormal="90" workbookViewId="0">
      <selection activeCell="C6" sqref="C6"/>
    </sheetView>
  </sheetViews>
  <sheetFormatPr baseColWidth="10" defaultColWidth="11.44140625" defaultRowHeight="14.4" x14ac:dyDescent="0.3"/>
  <cols>
    <col min="2" max="2" width="24.109375" customWidth="1"/>
    <col min="3" max="3" width="70.109375" customWidth="1"/>
    <col min="4" max="4" width="29.88671875" customWidth="1"/>
  </cols>
  <sheetData>
    <row r="1" spans="1:37" ht="23.4" x14ac:dyDescent="0.3">
      <c r="A1" s="83"/>
      <c r="B1" s="658" t="s">
        <v>331</v>
      </c>
      <c r="C1" s="658"/>
      <c r="D1" s="658"/>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3">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2" x14ac:dyDescent="0.3">
      <c r="A3" s="83"/>
      <c r="B3" s="11"/>
      <c r="C3" s="12" t="s">
        <v>332</v>
      </c>
      <c r="D3" s="12" t="s">
        <v>315</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0.4" x14ac:dyDescent="0.3">
      <c r="A4" s="83"/>
      <c r="B4" s="13" t="s">
        <v>333</v>
      </c>
      <c r="C4" s="14" t="s">
        <v>334</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0.4" x14ac:dyDescent="0.3">
      <c r="A5" s="83"/>
      <c r="B5" s="16" t="s">
        <v>171</v>
      </c>
      <c r="C5" s="17" t="s">
        <v>335</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0.4" x14ac:dyDescent="0.3">
      <c r="A6" s="83"/>
      <c r="B6" s="19" t="s">
        <v>172</v>
      </c>
      <c r="C6" s="17" t="s">
        <v>336</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5.599999999999994" x14ac:dyDescent="0.3">
      <c r="A7" s="83"/>
      <c r="B7" s="20" t="s">
        <v>177</v>
      </c>
      <c r="C7" s="17" t="s">
        <v>337</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0.4" x14ac:dyDescent="0.3">
      <c r="A8" s="83"/>
      <c r="B8" s="21" t="s">
        <v>338</v>
      </c>
      <c r="C8" s="17" t="s">
        <v>339</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3">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x14ac:dyDescent="0.3">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3">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3">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3">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3">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3">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3">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3">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3">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3">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3">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3">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3">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3">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3">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3">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3">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3">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3">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3">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3">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3">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3">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3">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3">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3">
      <c r="A35" s="83"/>
    </row>
    <row r="36" spans="1:31" x14ac:dyDescent="0.3">
      <c r="A36" s="83"/>
    </row>
    <row r="37" spans="1:31" x14ac:dyDescent="0.3">
      <c r="A37" s="83"/>
    </row>
    <row r="38" spans="1:31" x14ac:dyDescent="0.3">
      <c r="A38" s="83"/>
    </row>
    <row r="39" spans="1:31" x14ac:dyDescent="0.3">
      <c r="A39" s="83"/>
    </row>
    <row r="40" spans="1:31" x14ac:dyDescent="0.3">
      <c r="A40" s="83"/>
    </row>
    <row r="41" spans="1:31" x14ac:dyDescent="0.3">
      <c r="A41" s="83"/>
    </row>
    <row r="42" spans="1:31" x14ac:dyDescent="0.3">
      <c r="A42" s="83"/>
    </row>
    <row r="43" spans="1:31" x14ac:dyDescent="0.3">
      <c r="A43" s="83"/>
    </row>
    <row r="44" spans="1:31" x14ac:dyDescent="0.3">
      <c r="A44" s="83"/>
    </row>
    <row r="45" spans="1:31" x14ac:dyDescent="0.3">
      <c r="A45" s="83"/>
    </row>
    <row r="46" spans="1:31" x14ac:dyDescent="0.3">
      <c r="A46" s="83"/>
    </row>
    <row r="47" spans="1:31" x14ac:dyDescent="0.3">
      <c r="A47" s="83"/>
    </row>
    <row r="48" spans="1:31" x14ac:dyDescent="0.3">
      <c r="A48" s="83"/>
    </row>
    <row r="49" spans="1:1" x14ac:dyDescent="0.3">
      <c r="A49" s="83"/>
    </row>
    <row r="50" spans="1:1" x14ac:dyDescent="0.3">
      <c r="A50" s="83"/>
    </row>
    <row r="51" spans="1:1" x14ac:dyDescent="0.3">
      <c r="A51" s="83"/>
    </row>
    <row r="52" spans="1:1" x14ac:dyDescent="0.3">
      <c r="A52" s="83"/>
    </row>
    <row r="53" spans="1:1" x14ac:dyDescent="0.3">
      <c r="A53" s="83"/>
    </row>
    <row r="54" spans="1:1" x14ac:dyDescent="0.3">
      <c r="A54" s="83"/>
    </row>
    <row r="55" spans="1:1" x14ac:dyDescent="0.3">
      <c r="A55" s="83"/>
    </row>
  </sheetData>
  <mergeCells count="1">
    <mergeCell ref="B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U232"/>
  <sheetViews>
    <sheetView zoomScale="60" zoomScaleNormal="60" workbookViewId="0">
      <selection activeCell="D7" sqref="D7"/>
    </sheetView>
  </sheetViews>
  <sheetFormatPr baseColWidth="10" defaultColWidth="11.44140625"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3"/>
      <c r="B1" s="659" t="s">
        <v>340</v>
      </c>
      <c r="C1" s="659"/>
      <c r="D1" s="659"/>
      <c r="E1" s="83"/>
      <c r="F1" s="83"/>
      <c r="G1" s="83"/>
      <c r="H1" s="83"/>
      <c r="I1" s="83"/>
      <c r="J1" s="83"/>
      <c r="K1" s="83"/>
      <c r="L1" s="83"/>
      <c r="M1" s="83"/>
      <c r="N1" s="83"/>
      <c r="O1" s="83"/>
      <c r="P1" s="83"/>
      <c r="Q1" s="83"/>
      <c r="R1" s="83"/>
      <c r="S1" s="83"/>
      <c r="T1" s="83"/>
      <c r="U1" s="83"/>
    </row>
    <row r="2" spans="1:21" x14ac:dyDescent="0.3">
      <c r="A2" s="83"/>
      <c r="B2" s="83"/>
      <c r="C2" s="83"/>
      <c r="D2" s="83"/>
      <c r="E2" s="83"/>
      <c r="F2" s="83"/>
      <c r="G2" s="83"/>
      <c r="H2" s="83"/>
      <c r="I2" s="83"/>
      <c r="J2" s="83"/>
      <c r="K2" s="83"/>
      <c r="L2" s="83"/>
      <c r="M2" s="83"/>
      <c r="N2" s="83"/>
      <c r="O2" s="83"/>
      <c r="P2" s="83"/>
      <c r="Q2" s="83"/>
      <c r="R2" s="83"/>
      <c r="S2" s="83"/>
      <c r="T2" s="83"/>
      <c r="U2" s="83"/>
    </row>
    <row r="3" spans="1:21" ht="30" x14ac:dyDescent="0.3">
      <c r="A3" s="83"/>
      <c r="B3" s="101"/>
      <c r="C3" s="36" t="s">
        <v>341</v>
      </c>
      <c r="D3" s="36" t="s">
        <v>342</v>
      </c>
      <c r="E3" s="83"/>
      <c r="F3" s="83"/>
      <c r="G3" s="83"/>
      <c r="H3" s="83"/>
      <c r="I3" s="83"/>
      <c r="J3" s="83"/>
      <c r="K3" s="83"/>
      <c r="L3" s="83"/>
      <c r="M3" s="83"/>
      <c r="N3" s="83"/>
      <c r="O3" s="83"/>
      <c r="P3" s="83"/>
      <c r="Q3" s="83"/>
      <c r="R3" s="83"/>
      <c r="S3" s="83"/>
      <c r="T3" s="83"/>
      <c r="U3" s="83"/>
    </row>
    <row r="4" spans="1:21" ht="32.4" x14ac:dyDescent="0.3">
      <c r="A4" s="100" t="s">
        <v>343</v>
      </c>
      <c r="B4" s="39" t="s">
        <v>344</v>
      </c>
      <c r="C4" s="44" t="s">
        <v>345</v>
      </c>
      <c r="D4" s="37" t="s">
        <v>346</v>
      </c>
      <c r="E4" s="83"/>
      <c r="F4" s="83"/>
      <c r="G4" s="83"/>
      <c r="H4" s="83"/>
      <c r="I4" s="83"/>
      <c r="J4" s="83"/>
      <c r="K4" s="83"/>
      <c r="L4" s="83"/>
      <c r="M4" s="83"/>
      <c r="N4" s="83"/>
      <c r="O4" s="83"/>
      <c r="P4" s="83"/>
      <c r="Q4" s="83"/>
      <c r="R4" s="83"/>
      <c r="S4" s="83"/>
      <c r="T4" s="83"/>
      <c r="U4" s="83"/>
    </row>
    <row r="5" spans="1:21" ht="64.8" x14ac:dyDescent="0.3">
      <c r="A5" s="100" t="s">
        <v>347</v>
      </c>
      <c r="B5" s="40" t="s">
        <v>348</v>
      </c>
      <c r="C5" s="45" t="s">
        <v>349</v>
      </c>
      <c r="D5" s="38" t="s">
        <v>350</v>
      </c>
      <c r="E5" s="83"/>
      <c r="F5" s="83"/>
      <c r="G5" s="83"/>
      <c r="H5" s="83"/>
      <c r="I5" s="83"/>
      <c r="J5" s="83"/>
      <c r="K5" s="83"/>
      <c r="L5" s="83"/>
      <c r="M5" s="83"/>
      <c r="N5" s="83"/>
      <c r="O5" s="83"/>
      <c r="P5" s="83"/>
      <c r="Q5" s="83"/>
      <c r="R5" s="83"/>
      <c r="S5" s="83"/>
      <c r="T5" s="83"/>
      <c r="U5" s="83"/>
    </row>
    <row r="6" spans="1:21" ht="64.8" x14ac:dyDescent="0.3">
      <c r="A6" s="100" t="s">
        <v>321</v>
      </c>
      <c r="B6" s="41" t="s">
        <v>351</v>
      </c>
      <c r="C6" s="45" t="s">
        <v>352</v>
      </c>
      <c r="D6" s="38" t="s">
        <v>353</v>
      </c>
      <c r="E6" s="83"/>
      <c r="F6" s="83"/>
      <c r="G6" s="83"/>
      <c r="H6" s="83"/>
      <c r="I6" s="83"/>
      <c r="J6" s="83"/>
      <c r="K6" s="83"/>
      <c r="L6" s="83"/>
      <c r="M6" s="83"/>
      <c r="N6" s="83"/>
      <c r="O6" s="83"/>
      <c r="P6" s="83"/>
      <c r="Q6" s="83"/>
      <c r="R6" s="83"/>
      <c r="S6" s="83"/>
      <c r="T6" s="83"/>
      <c r="U6" s="83"/>
    </row>
    <row r="7" spans="1:21" ht="97.2" x14ac:dyDescent="0.3">
      <c r="A7" s="100" t="s">
        <v>354</v>
      </c>
      <c r="B7" s="42" t="s">
        <v>355</v>
      </c>
      <c r="C7" s="45" t="s">
        <v>356</v>
      </c>
      <c r="D7" s="38" t="s">
        <v>357</v>
      </c>
      <c r="E7" s="83"/>
      <c r="F7" s="83"/>
      <c r="G7" s="83"/>
      <c r="H7" s="83"/>
      <c r="I7" s="83"/>
      <c r="J7" s="83"/>
      <c r="K7" s="83"/>
      <c r="L7" s="83"/>
      <c r="M7" s="83"/>
      <c r="N7" s="83"/>
      <c r="O7" s="83"/>
      <c r="P7" s="83"/>
      <c r="Q7" s="83"/>
      <c r="R7" s="83"/>
      <c r="S7" s="83"/>
      <c r="T7" s="83"/>
      <c r="U7" s="83"/>
    </row>
    <row r="8" spans="1:21" ht="64.8" x14ac:dyDescent="0.3">
      <c r="A8" s="100" t="s">
        <v>358</v>
      </c>
      <c r="B8" s="43" t="s">
        <v>359</v>
      </c>
      <c r="C8" s="45" t="s">
        <v>360</v>
      </c>
      <c r="D8" s="38" t="s">
        <v>361</v>
      </c>
      <c r="E8" s="83"/>
      <c r="F8" s="83"/>
      <c r="G8" s="83"/>
      <c r="H8" s="83"/>
      <c r="I8" s="83"/>
      <c r="J8" s="83"/>
      <c r="K8" s="83"/>
      <c r="L8" s="83"/>
      <c r="M8" s="83"/>
      <c r="N8" s="83"/>
      <c r="O8" s="83"/>
      <c r="P8" s="83"/>
      <c r="Q8" s="83"/>
      <c r="R8" s="83"/>
      <c r="S8" s="83"/>
      <c r="T8" s="83"/>
      <c r="U8" s="83"/>
    </row>
    <row r="9" spans="1:21" ht="20.399999999999999" x14ac:dyDescent="0.3">
      <c r="A9" s="100"/>
      <c r="B9" s="100"/>
      <c r="C9" s="102"/>
      <c r="D9" s="102"/>
      <c r="E9" s="83"/>
      <c r="F9" s="83"/>
      <c r="G9" s="83"/>
      <c r="H9" s="83"/>
      <c r="I9" s="83"/>
      <c r="J9" s="83"/>
      <c r="K9" s="83"/>
      <c r="L9" s="83"/>
      <c r="M9" s="83"/>
      <c r="N9" s="83"/>
      <c r="O9" s="83"/>
      <c r="P9" s="83"/>
      <c r="Q9" s="83"/>
      <c r="R9" s="83"/>
      <c r="S9" s="83"/>
      <c r="T9" s="83"/>
      <c r="U9" s="83"/>
    </row>
    <row r="10" spans="1:21" x14ac:dyDescent="0.3">
      <c r="A10" s="100"/>
      <c r="B10" s="103"/>
      <c r="C10" s="103"/>
      <c r="D10" s="103"/>
      <c r="E10" s="83"/>
      <c r="F10" s="83"/>
      <c r="G10" s="83"/>
      <c r="H10" s="83"/>
      <c r="I10" s="83"/>
      <c r="J10" s="83"/>
      <c r="K10" s="83"/>
      <c r="L10" s="83"/>
      <c r="M10" s="83"/>
      <c r="N10" s="83"/>
      <c r="O10" s="83"/>
      <c r="P10" s="83"/>
      <c r="Q10" s="83"/>
      <c r="R10" s="83"/>
      <c r="S10" s="83"/>
      <c r="T10" s="83"/>
      <c r="U10" s="83"/>
    </row>
    <row r="11" spans="1:21" x14ac:dyDescent="0.3">
      <c r="A11" s="100"/>
      <c r="B11" s="100" t="s">
        <v>362</v>
      </c>
      <c r="C11" s="100" t="s">
        <v>363</v>
      </c>
      <c r="D11" s="100" t="s">
        <v>364</v>
      </c>
      <c r="E11" s="83"/>
      <c r="F11" s="83"/>
      <c r="G11" s="83"/>
      <c r="H11" s="83"/>
      <c r="I11" s="83"/>
      <c r="J11" s="83"/>
      <c r="K11" s="83"/>
      <c r="L11" s="83"/>
      <c r="M11" s="83"/>
      <c r="N11" s="83"/>
      <c r="O11" s="83"/>
      <c r="P11" s="83"/>
      <c r="Q11" s="83"/>
      <c r="R11" s="83"/>
      <c r="S11" s="83"/>
      <c r="T11" s="83"/>
      <c r="U11" s="83"/>
    </row>
    <row r="12" spans="1:21" x14ac:dyDescent="0.3">
      <c r="A12" s="100"/>
      <c r="B12" s="100" t="s">
        <v>365</v>
      </c>
      <c r="C12" s="100" t="s">
        <v>366</v>
      </c>
      <c r="D12" s="100" t="s">
        <v>367</v>
      </c>
      <c r="E12" s="83"/>
      <c r="F12" s="83"/>
      <c r="G12" s="83"/>
      <c r="H12" s="83"/>
      <c r="I12" s="83"/>
      <c r="J12" s="83"/>
      <c r="K12" s="83"/>
      <c r="L12" s="83"/>
      <c r="M12" s="83"/>
      <c r="N12" s="83"/>
      <c r="O12" s="83"/>
      <c r="P12" s="83"/>
      <c r="Q12" s="83"/>
      <c r="R12" s="83"/>
      <c r="S12" s="83"/>
      <c r="T12" s="83"/>
      <c r="U12" s="83"/>
    </row>
    <row r="13" spans="1:21" x14ac:dyDescent="0.3">
      <c r="A13" s="100"/>
      <c r="B13" s="100"/>
      <c r="C13" s="100" t="s">
        <v>368</v>
      </c>
      <c r="D13" s="100" t="s">
        <v>369</v>
      </c>
      <c r="E13" s="83"/>
      <c r="F13" s="83"/>
      <c r="G13" s="83"/>
      <c r="H13" s="83"/>
      <c r="I13" s="83"/>
      <c r="J13" s="83"/>
      <c r="K13" s="83"/>
      <c r="L13" s="83"/>
      <c r="M13" s="83"/>
      <c r="N13" s="83"/>
      <c r="O13" s="83"/>
      <c r="P13" s="83"/>
      <c r="Q13" s="83"/>
      <c r="R13" s="83"/>
      <c r="S13" s="83"/>
      <c r="T13" s="83"/>
      <c r="U13" s="83"/>
    </row>
    <row r="14" spans="1:21" x14ac:dyDescent="0.3">
      <c r="A14" s="100"/>
      <c r="B14" s="100"/>
      <c r="C14" s="100" t="s">
        <v>370</v>
      </c>
      <c r="D14" s="100" t="s">
        <v>371</v>
      </c>
      <c r="E14" s="83"/>
      <c r="F14" s="83"/>
      <c r="G14" s="83"/>
      <c r="H14" s="83"/>
      <c r="I14" s="83"/>
      <c r="J14" s="83"/>
      <c r="K14" s="83"/>
      <c r="L14" s="83"/>
      <c r="M14" s="83"/>
      <c r="N14" s="83"/>
      <c r="O14" s="83"/>
      <c r="P14" s="83"/>
      <c r="Q14" s="83"/>
      <c r="R14" s="83"/>
      <c r="S14" s="83"/>
      <c r="T14" s="83"/>
      <c r="U14" s="83"/>
    </row>
    <row r="15" spans="1:21" x14ac:dyDescent="0.3">
      <c r="A15" s="100"/>
      <c r="B15" s="100"/>
      <c r="C15" s="100" t="s">
        <v>372</v>
      </c>
      <c r="D15" s="100" t="s">
        <v>373</v>
      </c>
      <c r="E15" s="83"/>
      <c r="F15" s="83"/>
      <c r="G15" s="83"/>
      <c r="H15" s="83"/>
      <c r="I15" s="83"/>
      <c r="J15" s="83"/>
      <c r="K15" s="83"/>
      <c r="L15" s="83"/>
      <c r="M15" s="83"/>
      <c r="N15" s="83"/>
      <c r="O15" s="83"/>
      <c r="P15" s="83"/>
      <c r="Q15" s="83"/>
      <c r="R15" s="83"/>
      <c r="S15" s="83"/>
      <c r="T15" s="83"/>
      <c r="U15" s="83"/>
    </row>
    <row r="16" spans="1:21" x14ac:dyDescent="0.3">
      <c r="A16" s="100"/>
      <c r="B16" s="100"/>
      <c r="C16" s="100"/>
      <c r="D16" s="100"/>
      <c r="E16" s="83"/>
      <c r="F16" s="83"/>
      <c r="G16" s="83"/>
      <c r="H16" s="83"/>
      <c r="I16" s="83"/>
      <c r="J16" s="83"/>
      <c r="K16" s="83"/>
      <c r="L16" s="83"/>
      <c r="M16" s="83"/>
      <c r="N16" s="83"/>
      <c r="O16" s="83"/>
    </row>
    <row r="17" spans="1:15" x14ac:dyDescent="0.3">
      <c r="A17" s="100"/>
      <c r="B17" s="100"/>
      <c r="C17" s="100"/>
      <c r="D17" s="100"/>
      <c r="E17" s="83"/>
      <c r="F17" s="83"/>
      <c r="G17" s="83"/>
      <c r="H17" s="83"/>
      <c r="I17" s="83"/>
      <c r="J17" s="83"/>
      <c r="K17" s="83"/>
      <c r="L17" s="83"/>
      <c r="M17" s="83"/>
      <c r="N17" s="83"/>
      <c r="O17" s="83"/>
    </row>
    <row r="18" spans="1:15" x14ac:dyDescent="0.3">
      <c r="A18" s="100"/>
      <c r="B18" s="104"/>
      <c r="C18" s="104"/>
      <c r="D18" s="104"/>
      <c r="E18" s="83"/>
      <c r="F18" s="83"/>
      <c r="G18" s="83"/>
      <c r="H18" s="83"/>
      <c r="I18" s="83"/>
      <c r="J18" s="83"/>
      <c r="K18" s="83"/>
      <c r="L18" s="83"/>
      <c r="M18" s="83"/>
      <c r="N18" s="83"/>
      <c r="O18" s="83"/>
    </row>
    <row r="19" spans="1:15" x14ac:dyDescent="0.3">
      <c r="A19" s="100"/>
      <c r="B19" s="104"/>
      <c r="C19" s="104"/>
      <c r="D19" s="104"/>
      <c r="E19" s="83"/>
      <c r="F19" s="83"/>
      <c r="G19" s="83"/>
      <c r="H19" s="83"/>
      <c r="I19" s="83"/>
      <c r="J19" s="83"/>
      <c r="K19" s="83"/>
      <c r="L19" s="83"/>
      <c r="M19" s="83"/>
      <c r="N19" s="83"/>
      <c r="O19" s="83"/>
    </row>
    <row r="20" spans="1:15" x14ac:dyDescent="0.3">
      <c r="A20" s="100"/>
      <c r="B20" s="104"/>
      <c r="C20" s="104"/>
      <c r="D20" s="104"/>
      <c r="E20" s="83"/>
      <c r="F20" s="83"/>
      <c r="G20" s="83"/>
      <c r="H20" s="83"/>
      <c r="I20" s="83"/>
      <c r="J20" s="83"/>
      <c r="K20" s="83"/>
      <c r="L20" s="83"/>
      <c r="M20" s="83"/>
      <c r="N20" s="83"/>
      <c r="O20" s="83"/>
    </row>
    <row r="21" spans="1:15" x14ac:dyDescent="0.3">
      <c r="A21" s="100"/>
      <c r="B21" s="104"/>
      <c r="C21" s="104"/>
      <c r="D21" s="104"/>
      <c r="E21" s="83"/>
      <c r="F21" s="83"/>
      <c r="G21" s="83"/>
      <c r="H21" s="83"/>
      <c r="I21" s="83"/>
      <c r="J21" s="83"/>
      <c r="K21" s="83"/>
      <c r="L21" s="83"/>
      <c r="M21" s="83"/>
      <c r="N21" s="83"/>
      <c r="O21" s="83"/>
    </row>
    <row r="22" spans="1:15" ht="20.399999999999999" x14ac:dyDescent="0.3">
      <c r="A22" s="100"/>
      <c r="B22" s="100"/>
      <c r="C22" s="102"/>
      <c r="D22" s="102"/>
      <c r="E22" s="83"/>
      <c r="F22" s="83"/>
      <c r="G22" s="83"/>
      <c r="H22" s="83"/>
      <c r="I22" s="83"/>
      <c r="J22" s="83"/>
      <c r="K22" s="83"/>
      <c r="L22" s="83"/>
      <c r="M22" s="83"/>
      <c r="N22" s="83"/>
      <c r="O22" s="83"/>
    </row>
    <row r="23" spans="1:15" ht="20.399999999999999" x14ac:dyDescent="0.3">
      <c r="A23" s="100"/>
      <c r="B23" s="100"/>
      <c r="C23" s="102"/>
      <c r="D23" s="102"/>
      <c r="E23" s="83"/>
      <c r="F23" s="83"/>
      <c r="G23" s="83"/>
      <c r="H23" s="83"/>
      <c r="I23" s="83"/>
      <c r="J23" s="83"/>
      <c r="K23" s="83"/>
      <c r="L23" s="83"/>
      <c r="M23" s="83"/>
      <c r="N23" s="83"/>
      <c r="O23" s="83"/>
    </row>
    <row r="24" spans="1:15" ht="20.399999999999999" x14ac:dyDescent="0.3">
      <c r="A24" s="100"/>
      <c r="B24" s="100"/>
      <c r="C24" s="102"/>
      <c r="D24" s="102"/>
      <c r="E24" s="83"/>
      <c r="F24" s="83"/>
      <c r="G24" s="83"/>
      <c r="H24" s="83"/>
      <c r="I24" s="83"/>
      <c r="J24" s="83"/>
      <c r="K24" s="83"/>
      <c r="L24" s="83"/>
      <c r="M24" s="83"/>
      <c r="N24" s="83"/>
      <c r="O24" s="83"/>
    </row>
    <row r="25" spans="1:15" ht="20.399999999999999" x14ac:dyDescent="0.3">
      <c r="A25" s="100"/>
      <c r="B25" s="100"/>
      <c r="C25" s="102"/>
      <c r="D25" s="102"/>
      <c r="E25" s="83"/>
      <c r="F25" s="83"/>
      <c r="G25" s="83"/>
      <c r="H25" s="83"/>
      <c r="I25" s="83"/>
      <c r="J25" s="83"/>
      <c r="K25" s="83"/>
      <c r="L25" s="83"/>
      <c r="M25" s="83"/>
      <c r="N25" s="83"/>
      <c r="O25" s="83"/>
    </row>
    <row r="26" spans="1:15" ht="20.399999999999999" x14ac:dyDescent="0.3">
      <c r="A26" s="100"/>
      <c r="B26" s="100"/>
      <c r="C26" s="102"/>
      <c r="D26" s="102"/>
      <c r="E26" s="83"/>
      <c r="F26" s="83"/>
      <c r="G26" s="83"/>
      <c r="H26" s="83"/>
      <c r="I26" s="83"/>
      <c r="J26" s="83"/>
      <c r="K26" s="83"/>
      <c r="L26" s="83"/>
      <c r="M26" s="83"/>
      <c r="N26" s="83"/>
      <c r="O26" s="83"/>
    </row>
    <row r="27" spans="1:15" ht="20.399999999999999" x14ac:dyDescent="0.3">
      <c r="A27" s="100"/>
      <c r="B27" s="100"/>
      <c r="C27" s="102"/>
      <c r="D27" s="102"/>
      <c r="E27" s="83"/>
      <c r="F27" s="83"/>
      <c r="G27" s="83"/>
      <c r="H27" s="83"/>
      <c r="I27" s="83"/>
      <c r="J27" s="83"/>
      <c r="K27" s="83"/>
      <c r="L27" s="83"/>
      <c r="M27" s="83"/>
      <c r="N27" s="83"/>
      <c r="O27" s="83"/>
    </row>
    <row r="28" spans="1:15" ht="20.399999999999999" x14ac:dyDescent="0.3">
      <c r="A28" s="100"/>
      <c r="B28" s="100"/>
      <c r="C28" s="102"/>
      <c r="D28" s="102"/>
      <c r="E28" s="83"/>
      <c r="F28" s="83"/>
      <c r="G28" s="83"/>
      <c r="H28" s="83"/>
      <c r="I28" s="83"/>
      <c r="J28" s="83"/>
      <c r="K28" s="83"/>
      <c r="L28" s="83"/>
      <c r="M28" s="83"/>
      <c r="N28" s="83"/>
      <c r="O28" s="83"/>
    </row>
    <row r="29" spans="1:15" ht="20.399999999999999" x14ac:dyDescent="0.3">
      <c r="A29" s="100"/>
      <c r="B29" s="100"/>
      <c r="C29" s="102"/>
      <c r="D29" s="102"/>
      <c r="E29" s="83"/>
      <c r="F29" s="83"/>
      <c r="G29" s="83"/>
      <c r="H29" s="83"/>
      <c r="I29" s="83"/>
      <c r="J29" s="83"/>
      <c r="K29" s="83"/>
      <c r="L29" s="83"/>
      <c r="M29" s="83"/>
      <c r="N29" s="83"/>
      <c r="O29" s="83"/>
    </row>
    <row r="30" spans="1:15" ht="20.399999999999999" x14ac:dyDescent="0.3">
      <c r="A30" s="100"/>
      <c r="B30" s="100"/>
      <c r="C30" s="102"/>
      <c r="D30" s="102"/>
      <c r="E30" s="83"/>
      <c r="F30" s="83"/>
      <c r="G30" s="83"/>
      <c r="H30" s="83"/>
      <c r="I30" s="83"/>
      <c r="J30" s="83"/>
      <c r="K30" s="83"/>
      <c r="L30" s="83"/>
      <c r="M30" s="83"/>
      <c r="N30" s="83"/>
      <c r="O30" s="83"/>
    </row>
    <row r="31" spans="1:15" ht="20.399999999999999" x14ac:dyDescent="0.3">
      <c r="A31" s="100"/>
      <c r="B31" s="100"/>
      <c r="C31" s="102"/>
      <c r="D31" s="102"/>
      <c r="E31" s="83"/>
      <c r="F31" s="83"/>
      <c r="G31" s="83"/>
      <c r="H31" s="83"/>
      <c r="I31" s="83"/>
      <c r="J31" s="83"/>
      <c r="K31" s="83"/>
      <c r="L31" s="83"/>
      <c r="M31" s="83"/>
      <c r="N31" s="83"/>
      <c r="O31" s="83"/>
    </row>
    <row r="32" spans="1:15" ht="20.399999999999999" x14ac:dyDescent="0.3">
      <c r="A32" s="100"/>
      <c r="B32" s="100"/>
      <c r="C32" s="102"/>
      <c r="D32" s="102"/>
      <c r="E32" s="83"/>
      <c r="F32" s="83"/>
      <c r="G32" s="83"/>
      <c r="H32" s="83"/>
      <c r="I32" s="83"/>
      <c r="J32" s="83"/>
      <c r="K32" s="83"/>
      <c r="L32" s="83"/>
      <c r="M32" s="83"/>
      <c r="N32" s="83"/>
      <c r="O32" s="83"/>
    </row>
    <row r="33" spans="1:15" ht="20.399999999999999" x14ac:dyDescent="0.3">
      <c r="A33" s="100"/>
      <c r="B33" s="100"/>
      <c r="C33" s="102"/>
      <c r="D33" s="102"/>
      <c r="E33" s="83"/>
      <c r="F33" s="83"/>
      <c r="G33" s="83"/>
      <c r="H33" s="83"/>
      <c r="I33" s="83"/>
      <c r="J33" s="83"/>
      <c r="K33" s="83"/>
      <c r="L33" s="83"/>
      <c r="M33" s="83"/>
      <c r="N33" s="83"/>
      <c r="O33" s="83"/>
    </row>
    <row r="34" spans="1:15" ht="20.399999999999999" x14ac:dyDescent="0.3">
      <c r="A34" s="100"/>
      <c r="B34" s="100"/>
      <c r="C34" s="102"/>
      <c r="D34" s="102"/>
      <c r="E34" s="83"/>
      <c r="F34" s="83"/>
      <c r="G34" s="83"/>
      <c r="H34" s="83"/>
      <c r="I34" s="83"/>
      <c r="J34" s="83"/>
      <c r="K34" s="83"/>
      <c r="L34" s="83"/>
      <c r="M34" s="83"/>
      <c r="N34" s="83"/>
      <c r="O34" s="83"/>
    </row>
    <row r="35" spans="1:15" ht="20.399999999999999" x14ac:dyDescent="0.3">
      <c r="A35" s="100"/>
      <c r="B35" s="100"/>
      <c r="C35" s="102"/>
      <c r="D35" s="102"/>
      <c r="E35" s="83"/>
      <c r="F35" s="83"/>
      <c r="G35" s="83"/>
      <c r="H35" s="83"/>
      <c r="I35" s="83"/>
      <c r="J35" s="83"/>
      <c r="K35" s="83"/>
      <c r="L35" s="83"/>
      <c r="M35" s="83"/>
      <c r="N35" s="83"/>
      <c r="O35" s="83"/>
    </row>
    <row r="36" spans="1:15" ht="20.399999999999999" x14ac:dyDescent="0.3">
      <c r="A36" s="100"/>
      <c r="B36" s="100"/>
      <c r="C36" s="102"/>
      <c r="D36" s="102"/>
      <c r="E36" s="83"/>
      <c r="F36" s="83"/>
      <c r="G36" s="83"/>
      <c r="H36" s="83"/>
      <c r="I36" s="83"/>
      <c r="J36" s="83"/>
      <c r="K36" s="83"/>
      <c r="L36" s="83"/>
      <c r="M36" s="83"/>
      <c r="N36" s="83"/>
      <c r="O36" s="83"/>
    </row>
    <row r="37" spans="1:15" ht="20.399999999999999" x14ac:dyDescent="0.3">
      <c r="A37" s="100"/>
      <c r="B37" s="100"/>
      <c r="C37" s="102"/>
      <c r="D37" s="102"/>
      <c r="E37" s="83"/>
      <c r="F37" s="83"/>
      <c r="G37" s="83"/>
      <c r="H37" s="83"/>
      <c r="I37" s="83"/>
      <c r="J37" s="83"/>
      <c r="K37" s="83"/>
      <c r="L37" s="83"/>
      <c r="M37" s="83"/>
      <c r="N37" s="83"/>
      <c r="O37" s="83"/>
    </row>
    <row r="38" spans="1:15" ht="20.399999999999999" x14ac:dyDescent="0.3">
      <c r="A38" s="100"/>
      <c r="B38" s="100"/>
      <c r="C38" s="102"/>
      <c r="D38" s="102"/>
      <c r="E38" s="83"/>
      <c r="F38" s="83"/>
      <c r="G38" s="83"/>
      <c r="H38" s="83"/>
      <c r="I38" s="83"/>
      <c r="J38" s="83"/>
      <c r="K38" s="83"/>
      <c r="L38" s="83"/>
      <c r="M38" s="83"/>
      <c r="N38" s="83"/>
      <c r="O38" s="83"/>
    </row>
    <row r="39" spans="1:15" ht="20.399999999999999" x14ac:dyDescent="0.3">
      <c r="A39" s="100"/>
      <c r="B39" s="100"/>
      <c r="C39" s="102"/>
      <c r="D39" s="102"/>
      <c r="E39" s="83"/>
      <c r="F39" s="83"/>
      <c r="G39" s="83"/>
      <c r="H39" s="83"/>
      <c r="I39" s="83"/>
      <c r="J39" s="83"/>
      <c r="K39" s="83"/>
      <c r="L39" s="83"/>
      <c r="M39" s="83"/>
      <c r="N39" s="83"/>
      <c r="O39" s="83"/>
    </row>
    <row r="40" spans="1:15" ht="20.399999999999999" x14ac:dyDescent="0.3">
      <c r="A40" s="100"/>
      <c r="B40" s="100"/>
      <c r="C40" s="102"/>
      <c r="D40" s="102"/>
      <c r="E40" s="83"/>
      <c r="F40" s="83"/>
      <c r="G40" s="83"/>
      <c r="H40" s="83"/>
      <c r="I40" s="83"/>
      <c r="J40" s="83"/>
      <c r="K40" s="83"/>
      <c r="L40" s="83"/>
      <c r="M40" s="83"/>
      <c r="N40" s="83"/>
      <c r="O40" s="83"/>
    </row>
    <row r="41" spans="1:15" ht="20.399999999999999" x14ac:dyDescent="0.3">
      <c r="A41" s="100"/>
      <c r="B41" s="100"/>
      <c r="C41" s="102"/>
      <c r="D41" s="102"/>
      <c r="E41" s="83"/>
      <c r="F41" s="83"/>
      <c r="G41" s="83"/>
      <c r="H41" s="83"/>
      <c r="I41" s="83"/>
      <c r="J41" s="83"/>
      <c r="K41" s="83"/>
      <c r="L41" s="83"/>
      <c r="M41" s="83"/>
      <c r="N41" s="83"/>
      <c r="O41" s="83"/>
    </row>
    <row r="42" spans="1:15" ht="20.399999999999999" x14ac:dyDescent="0.3">
      <c r="A42" s="100"/>
      <c r="B42" s="100"/>
      <c r="C42" s="102"/>
      <c r="D42" s="102"/>
      <c r="E42" s="83"/>
      <c r="F42" s="83"/>
      <c r="G42" s="83"/>
      <c r="H42" s="83"/>
      <c r="I42" s="83"/>
      <c r="J42" s="83"/>
      <c r="K42" s="83"/>
      <c r="L42" s="83"/>
      <c r="M42" s="83"/>
      <c r="N42" s="83"/>
      <c r="O42" s="83"/>
    </row>
    <row r="43" spans="1:15" ht="20.399999999999999" x14ac:dyDescent="0.3">
      <c r="A43" s="100"/>
      <c r="B43" s="100"/>
      <c r="C43" s="102"/>
      <c r="D43" s="102"/>
      <c r="E43" s="83"/>
      <c r="F43" s="83"/>
      <c r="G43" s="83"/>
      <c r="H43" s="83"/>
      <c r="I43" s="83"/>
      <c r="J43" s="83"/>
      <c r="K43" s="83"/>
      <c r="L43" s="83"/>
      <c r="M43" s="83"/>
      <c r="N43" s="83"/>
      <c r="O43" s="83"/>
    </row>
    <row r="44" spans="1:15" ht="20.399999999999999" x14ac:dyDescent="0.3">
      <c r="A44" s="100"/>
      <c r="B44" s="100"/>
      <c r="C44" s="102"/>
      <c r="D44" s="102"/>
      <c r="E44" s="83"/>
      <c r="F44" s="83"/>
      <c r="G44" s="83"/>
      <c r="H44" s="83"/>
      <c r="I44" s="83"/>
      <c r="J44" s="83"/>
      <c r="K44" s="83"/>
      <c r="L44" s="83"/>
      <c r="M44" s="83"/>
      <c r="N44" s="83"/>
      <c r="O44" s="83"/>
    </row>
    <row r="45" spans="1:15" ht="20.399999999999999" x14ac:dyDescent="0.3">
      <c r="A45" s="100"/>
      <c r="B45" s="100"/>
      <c r="C45" s="102"/>
      <c r="D45" s="102"/>
      <c r="E45" s="83"/>
      <c r="F45" s="83"/>
      <c r="G45" s="83"/>
      <c r="H45" s="83"/>
      <c r="I45" s="83"/>
      <c r="J45" s="83"/>
      <c r="K45" s="83"/>
      <c r="L45" s="83"/>
      <c r="M45" s="83"/>
      <c r="N45" s="83"/>
      <c r="O45" s="83"/>
    </row>
    <row r="46" spans="1:15" ht="20.399999999999999" x14ac:dyDescent="0.3">
      <c r="A46" s="100"/>
      <c r="B46" s="100"/>
      <c r="C46" s="102"/>
      <c r="D46" s="102"/>
      <c r="E46" s="83"/>
      <c r="F46" s="83"/>
      <c r="G46" s="83"/>
      <c r="H46" s="83"/>
      <c r="I46" s="83"/>
      <c r="J46" s="83"/>
      <c r="K46" s="83"/>
      <c r="L46" s="83"/>
      <c r="M46" s="83"/>
      <c r="N46" s="83"/>
      <c r="O46" s="83"/>
    </row>
    <row r="47" spans="1:15" ht="20.399999999999999" x14ac:dyDescent="0.3">
      <c r="A47" s="100"/>
      <c r="B47" s="100"/>
      <c r="C47" s="102"/>
      <c r="D47" s="102"/>
      <c r="E47" s="83"/>
      <c r="F47" s="83"/>
      <c r="G47" s="83"/>
      <c r="H47" s="83"/>
      <c r="I47" s="83"/>
      <c r="J47" s="83"/>
      <c r="K47" s="83"/>
      <c r="L47" s="83"/>
      <c r="M47" s="83"/>
      <c r="N47" s="83"/>
      <c r="O47" s="83"/>
    </row>
    <row r="48" spans="1:15" ht="20.399999999999999" x14ac:dyDescent="0.3">
      <c r="A48" s="100"/>
      <c r="B48" s="100"/>
      <c r="C48" s="102"/>
      <c r="D48" s="102"/>
      <c r="E48" s="83"/>
      <c r="F48" s="83"/>
      <c r="G48" s="83"/>
      <c r="H48" s="83"/>
      <c r="I48" s="83"/>
      <c r="J48" s="83"/>
      <c r="K48" s="83"/>
      <c r="L48" s="83"/>
      <c r="M48" s="83"/>
      <c r="N48" s="83"/>
      <c r="O48" s="83"/>
    </row>
    <row r="49" spans="1:15" ht="20.399999999999999" x14ac:dyDescent="0.3">
      <c r="A49" s="100"/>
      <c r="B49" s="100"/>
      <c r="C49" s="102"/>
      <c r="D49" s="102"/>
      <c r="E49" s="83"/>
      <c r="F49" s="83"/>
      <c r="G49" s="83"/>
      <c r="H49" s="83"/>
      <c r="I49" s="83"/>
      <c r="J49" s="83"/>
      <c r="K49" s="83"/>
      <c r="L49" s="83"/>
      <c r="M49" s="83"/>
      <c r="N49" s="83"/>
      <c r="O49" s="83"/>
    </row>
    <row r="50" spans="1:15" ht="20.399999999999999" x14ac:dyDescent="0.3">
      <c r="A50" s="100"/>
      <c r="B50" s="100"/>
      <c r="C50" s="102"/>
      <c r="D50" s="102"/>
      <c r="E50" s="83"/>
      <c r="F50" s="83"/>
      <c r="G50" s="83"/>
      <c r="H50" s="83"/>
      <c r="I50" s="83"/>
      <c r="J50" s="83"/>
      <c r="K50" s="83"/>
      <c r="L50" s="83"/>
      <c r="M50" s="83"/>
      <c r="N50" s="83"/>
      <c r="O50" s="83"/>
    </row>
    <row r="51" spans="1:15" ht="20.399999999999999" x14ac:dyDescent="0.3">
      <c r="A51" s="100"/>
      <c r="B51" s="100"/>
      <c r="C51" s="102"/>
      <c r="D51" s="102"/>
      <c r="E51" s="83"/>
      <c r="F51" s="83"/>
      <c r="G51" s="83"/>
      <c r="H51" s="83"/>
      <c r="I51" s="83"/>
      <c r="J51" s="83"/>
      <c r="K51" s="83"/>
      <c r="L51" s="83"/>
      <c r="M51" s="83"/>
      <c r="N51" s="83"/>
      <c r="O51" s="83"/>
    </row>
    <row r="52" spans="1:15" ht="20.399999999999999" x14ac:dyDescent="0.3">
      <c r="A52" s="100"/>
      <c r="B52" s="23"/>
      <c r="C52" s="34"/>
      <c r="D52" s="34"/>
    </row>
    <row r="53" spans="1:15" ht="20.399999999999999" x14ac:dyDescent="0.3">
      <c r="A53" s="100"/>
      <c r="B53" s="23"/>
      <c r="C53" s="34"/>
      <c r="D53" s="34"/>
    </row>
    <row r="54" spans="1:15" ht="20.399999999999999" x14ac:dyDescent="0.3">
      <c r="A54" s="100"/>
      <c r="B54" s="23"/>
      <c r="C54" s="34"/>
      <c r="D54" s="34"/>
    </row>
    <row r="55" spans="1:15" ht="20.399999999999999" x14ac:dyDescent="0.3">
      <c r="A55" s="100"/>
      <c r="B55" s="23"/>
      <c r="C55" s="34"/>
      <c r="D55" s="34"/>
    </row>
    <row r="56" spans="1:15" ht="20.399999999999999" x14ac:dyDescent="0.3">
      <c r="A56" s="100"/>
      <c r="B56" s="23"/>
      <c r="C56" s="34"/>
      <c r="D56" s="34"/>
    </row>
    <row r="57" spans="1:15" ht="20.399999999999999" x14ac:dyDescent="0.3">
      <c r="A57" s="100"/>
      <c r="B57" s="23"/>
      <c r="C57" s="34"/>
      <c r="D57" s="34"/>
    </row>
    <row r="58" spans="1:15" ht="20.399999999999999" x14ac:dyDescent="0.3">
      <c r="A58" s="100"/>
      <c r="B58" s="23"/>
      <c r="C58" s="34"/>
      <c r="D58" s="34"/>
    </row>
    <row r="59" spans="1:15" ht="20.399999999999999" x14ac:dyDescent="0.3">
      <c r="A59" s="100"/>
      <c r="B59" s="23"/>
      <c r="C59" s="34"/>
      <c r="D59" s="34"/>
    </row>
    <row r="60" spans="1:15" ht="20.399999999999999" x14ac:dyDescent="0.3">
      <c r="A60" s="100"/>
      <c r="B60" s="23"/>
      <c r="C60" s="34"/>
      <c r="D60" s="34"/>
    </row>
    <row r="61" spans="1:15" ht="20.399999999999999" x14ac:dyDescent="0.3">
      <c r="A61" s="100"/>
      <c r="B61" s="23"/>
      <c r="C61" s="34"/>
      <c r="D61" s="34"/>
    </row>
    <row r="62" spans="1:15" ht="20.399999999999999" x14ac:dyDescent="0.3">
      <c r="A62" s="100"/>
      <c r="B62" s="23"/>
      <c r="C62" s="34"/>
      <c r="D62" s="34"/>
    </row>
    <row r="63" spans="1:15" ht="20.399999999999999" x14ac:dyDescent="0.3">
      <c r="A63" s="100"/>
      <c r="B63" s="23"/>
      <c r="C63" s="34"/>
      <c r="D63" s="34"/>
    </row>
    <row r="64" spans="1:15" ht="20.399999999999999" x14ac:dyDescent="0.3">
      <c r="A64" s="100"/>
      <c r="B64" s="23"/>
      <c r="C64" s="34"/>
      <c r="D64" s="34"/>
    </row>
    <row r="65" spans="1:4" ht="20.399999999999999" x14ac:dyDescent="0.3">
      <c r="A65" s="100"/>
      <c r="B65" s="23"/>
      <c r="C65" s="34"/>
      <c r="D65" s="34"/>
    </row>
    <row r="66" spans="1:4" ht="20.399999999999999" x14ac:dyDescent="0.3">
      <c r="A66" s="100"/>
      <c r="B66" s="23"/>
      <c r="C66" s="34"/>
      <c r="D66" s="34"/>
    </row>
    <row r="67" spans="1:4" ht="20.399999999999999" x14ac:dyDescent="0.3">
      <c r="A67" s="100"/>
      <c r="B67" s="23"/>
      <c r="C67" s="34"/>
      <c r="D67" s="34"/>
    </row>
    <row r="68" spans="1:4" ht="20.399999999999999" x14ac:dyDescent="0.3">
      <c r="A68" s="100"/>
      <c r="B68" s="23"/>
      <c r="C68" s="34"/>
      <c r="D68" s="34"/>
    </row>
    <row r="69" spans="1:4" ht="20.399999999999999" x14ac:dyDescent="0.3">
      <c r="A69" s="100"/>
      <c r="B69" s="23"/>
      <c r="C69" s="34"/>
      <c r="D69" s="34"/>
    </row>
    <row r="70" spans="1:4" ht="20.399999999999999" x14ac:dyDescent="0.3">
      <c r="A70" s="100"/>
      <c r="B70" s="23"/>
      <c r="C70" s="34"/>
      <c r="D70" s="34"/>
    </row>
    <row r="71" spans="1:4" ht="20.399999999999999" x14ac:dyDescent="0.3">
      <c r="A71" s="100"/>
      <c r="B71" s="23"/>
      <c r="C71" s="34"/>
      <c r="D71" s="34"/>
    </row>
    <row r="72" spans="1:4" ht="20.399999999999999" x14ac:dyDescent="0.3">
      <c r="A72" s="100"/>
      <c r="B72" s="23"/>
      <c r="C72" s="34"/>
      <c r="D72" s="34"/>
    </row>
    <row r="73" spans="1:4" ht="20.399999999999999" x14ac:dyDescent="0.3">
      <c r="A73" s="100"/>
      <c r="B73" s="23"/>
      <c r="C73" s="34"/>
      <c r="D73" s="34"/>
    </row>
    <row r="74" spans="1:4" ht="20.399999999999999" x14ac:dyDescent="0.3">
      <c r="A74" s="100"/>
      <c r="B74" s="23"/>
      <c r="C74" s="34"/>
      <c r="D74" s="34"/>
    </row>
    <row r="75" spans="1:4" ht="20.399999999999999" x14ac:dyDescent="0.3">
      <c r="A75" s="100"/>
      <c r="B75" s="23"/>
      <c r="C75" s="34"/>
      <c r="D75" s="34"/>
    </row>
    <row r="76" spans="1:4" ht="20.399999999999999" x14ac:dyDescent="0.3">
      <c r="A76" s="100"/>
      <c r="B76" s="23"/>
      <c r="C76" s="34"/>
      <c r="D76" s="34"/>
    </row>
    <row r="77" spans="1:4" ht="20.399999999999999" x14ac:dyDescent="0.3">
      <c r="A77" s="100"/>
      <c r="B77" s="23"/>
      <c r="C77" s="34"/>
      <c r="D77" s="34"/>
    </row>
    <row r="78" spans="1:4" ht="20.399999999999999" x14ac:dyDescent="0.3">
      <c r="A78" s="100"/>
      <c r="B78" s="23"/>
      <c r="C78" s="34"/>
      <c r="D78" s="34"/>
    </row>
    <row r="79" spans="1:4" ht="20.399999999999999" x14ac:dyDescent="0.3">
      <c r="A79" s="100"/>
      <c r="B79" s="23"/>
      <c r="C79" s="34"/>
      <c r="D79" s="34"/>
    </row>
    <row r="80" spans="1:4" ht="20.399999999999999" x14ac:dyDescent="0.3">
      <c r="A80" s="100"/>
      <c r="B80" s="23"/>
      <c r="C80" s="34"/>
      <c r="D80" s="34"/>
    </row>
    <row r="81" spans="1:4" ht="20.399999999999999" x14ac:dyDescent="0.3">
      <c r="A81" s="100"/>
      <c r="B81" s="23"/>
      <c r="C81" s="34"/>
      <c r="D81" s="34"/>
    </row>
    <row r="82" spans="1:4" ht="20.399999999999999" x14ac:dyDescent="0.3">
      <c r="A82" s="100"/>
      <c r="B82" s="23"/>
      <c r="C82" s="34"/>
      <c r="D82" s="34"/>
    </row>
    <row r="83" spans="1:4" ht="20.399999999999999" x14ac:dyDescent="0.3">
      <c r="A83" s="100"/>
      <c r="B83" s="23"/>
      <c r="C83" s="34"/>
      <c r="D83" s="34"/>
    </row>
    <row r="84" spans="1:4" ht="20.399999999999999" x14ac:dyDescent="0.3">
      <c r="A84" s="100"/>
      <c r="B84" s="23"/>
      <c r="C84" s="34"/>
      <c r="D84" s="34"/>
    </row>
    <row r="85" spans="1:4" ht="20.399999999999999" x14ac:dyDescent="0.3">
      <c r="A85" s="100"/>
      <c r="B85" s="23"/>
      <c r="C85" s="34"/>
      <c r="D85" s="34"/>
    </row>
    <row r="86" spans="1:4" ht="20.399999999999999" x14ac:dyDescent="0.3">
      <c r="A86" s="100"/>
      <c r="B86" s="23"/>
      <c r="C86" s="34"/>
      <c r="D86" s="34"/>
    </row>
    <row r="87" spans="1:4" ht="20.399999999999999" x14ac:dyDescent="0.3">
      <c r="A87" s="100"/>
      <c r="B87" s="23"/>
      <c r="C87" s="34"/>
      <c r="D87" s="34"/>
    </row>
    <row r="88" spans="1:4" ht="20.399999999999999" x14ac:dyDescent="0.3">
      <c r="A88" s="100"/>
      <c r="B88" s="23"/>
      <c r="C88" s="34"/>
      <c r="D88" s="34"/>
    </row>
    <row r="89" spans="1:4" ht="20.399999999999999" x14ac:dyDescent="0.3">
      <c r="A89" s="100"/>
      <c r="B89" s="23"/>
      <c r="C89" s="34"/>
      <c r="D89" s="34"/>
    </row>
    <row r="90" spans="1:4" ht="20.399999999999999" x14ac:dyDescent="0.3">
      <c r="A90" s="100"/>
      <c r="B90" s="23"/>
      <c r="C90" s="34"/>
      <c r="D90" s="34"/>
    </row>
    <row r="91" spans="1:4" ht="20.399999999999999" x14ac:dyDescent="0.3">
      <c r="A91" s="100"/>
      <c r="B91" s="23"/>
      <c r="C91" s="34"/>
      <c r="D91" s="34"/>
    </row>
    <row r="92" spans="1:4" ht="20.399999999999999" x14ac:dyDescent="0.3">
      <c r="A92" s="100"/>
      <c r="B92" s="23"/>
      <c r="C92" s="34"/>
      <c r="D92" s="34"/>
    </row>
    <row r="93" spans="1:4" ht="20.399999999999999" x14ac:dyDescent="0.3">
      <c r="A93" s="100"/>
      <c r="B93" s="23"/>
      <c r="C93" s="34"/>
      <c r="D93" s="34"/>
    </row>
    <row r="94" spans="1:4" ht="20.399999999999999" x14ac:dyDescent="0.3">
      <c r="A94" s="100"/>
      <c r="B94" s="23"/>
      <c r="C94" s="34"/>
      <c r="D94" s="34"/>
    </row>
    <row r="95" spans="1:4" ht="20.399999999999999" x14ac:dyDescent="0.3">
      <c r="A95" s="100"/>
      <c r="B95" s="23"/>
      <c r="C95" s="34"/>
      <c r="D95" s="34"/>
    </row>
    <row r="96" spans="1:4" ht="20.399999999999999" x14ac:dyDescent="0.3">
      <c r="A96" s="100"/>
      <c r="B96" s="23"/>
      <c r="C96" s="34"/>
      <c r="D96" s="34"/>
    </row>
    <row r="97" spans="1:4" ht="20.399999999999999" x14ac:dyDescent="0.3">
      <c r="A97" s="100"/>
      <c r="B97" s="23"/>
      <c r="C97" s="34"/>
      <c r="D97" s="34"/>
    </row>
    <row r="98" spans="1:4" ht="20.399999999999999" x14ac:dyDescent="0.3">
      <c r="A98" s="100"/>
      <c r="B98" s="23"/>
      <c r="C98" s="34"/>
      <c r="D98" s="34"/>
    </row>
    <row r="99" spans="1:4" ht="20.399999999999999" x14ac:dyDescent="0.3">
      <c r="A99" s="100"/>
      <c r="B99" s="23"/>
      <c r="C99" s="34"/>
      <c r="D99" s="34"/>
    </row>
    <row r="100" spans="1:4" ht="20.399999999999999" x14ac:dyDescent="0.3">
      <c r="A100" s="100"/>
      <c r="B100" s="23"/>
      <c r="C100" s="34"/>
      <c r="D100" s="34"/>
    </row>
    <row r="101" spans="1:4" ht="20.399999999999999" x14ac:dyDescent="0.3">
      <c r="A101" s="100"/>
      <c r="B101" s="23"/>
      <c r="C101" s="34"/>
      <c r="D101" s="34"/>
    </row>
    <row r="102" spans="1:4" ht="20.399999999999999" x14ac:dyDescent="0.3">
      <c r="A102" s="100"/>
      <c r="B102" s="23"/>
      <c r="C102" s="34"/>
      <c r="D102" s="34"/>
    </row>
    <row r="103" spans="1:4" ht="20.399999999999999" x14ac:dyDescent="0.3">
      <c r="A103" s="100"/>
      <c r="B103" s="23"/>
      <c r="C103" s="34"/>
      <c r="D103" s="34"/>
    </row>
    <row r="104" spans="1:4" ht="20.399999999999999" x14ac:dyDescent="0.3">
      <c r="A104" s="100"/>
      <c r="B104" s="23"/>
      <c r="C104" s="34"/>
      <c r="D104" s="34"/>
    </row>
    <row r="105" spans="1:4" ht="20.399999999999999" x14ac:dyDescent="0.3">
      <c r="A105" s="100"/>
      <c r="B105" s="23"/>
      <c r="C105" s="34"/>
      <c r="D105" s="34"/>
    </row>
    <row r="106" spans="1:4" ht="20.399999999999999" x14ac:dyDescent="0.3">
      <c r="A106" s="100"/>
      <c r="B106" s="23"/>
      <c r="C106" s="34"/>
      <c r="D106" s="34"/>
    </row>
    <row r="107" spans="1:4" ht="20.399999999999999" x14ac:dyDescent="0.3">
      <c r="A107" s="100"/>
      <c r="B107" s="23"/>
      <c r="C107" s="34"/>
      <c r="D107" s="34"/>
    </row>
    <row r="108" spans="1:4" ht="20.399999999999999" x14ac:dyDescent="0.3">
      <c r="A108" s="100"/>
      <c r="B108" s="23"/>
      <c r="C108" s="34"/>
      <c r="D108" s="34"/>
    </row>
    <row r="109" spans="1:4" ht="20.399999999999999" x14ac:dyDescent="0.3">
      <c r="A109" s="100"/>
      <c r="B109" s="23"/>
      <c r="C109" s="34"/>
      <c r="D109" s="34"/>
    </row>
    <row r="110" spans="1:4" ht="20.399999999999999" x14ac:dyDescent="0.3">
      <c r="A110" s="100"/>
      <c r="B110" s="23"/>
      <c r="C110" s="34"/>
      <c r="D110" s="34"/>
    </row>
    <row r="111" spans="1:4" ht="20.399999999999999" x14ac:dyDescent="0.3">
      <c r="A111" s="100"/>
      <c r="B111" s="23"/>
      <c r="C111" s="34"/>
      <c r="D111" s="34"/>
    </row>
    <row r="112" spans="1:4" ht="20.399999999999999" x14ac:dyDescent="0.3">
      <c r="A112" s="100"/>
      <c r="B112" s="23"/>
      <c r="C112" s="34"/>
      <c r="D112" s="34"/>
    </row>
    <row r="113" spans="1:4" ht="20.399999999999999" x14ac:dyDescent="0.3">
      <c r="A113" s="100"/>
      <c r="B113" s="23"/>
      <c r="C113" s="34"/>
      <c r="D113" s="34"/>
    </row>
    <row r="114" spans="1:4" ht="20.399999999999999" x14ac:dyDescent="0.3">
      <c r="A114" s="100"/>
      <c r="B114" s="23"/>
      <c r="C114" s="34"/>
      <c r="D114" s="34"/>
    </row>
    <row r="115" spans="1:4" ht="20.399999999999999" x14ac:dyDescent="0.3">
      <c r="A115" s="100"/>
      <c r="B115" s="23"/>
      <c r="C115" s="34"/>
      <c r="D115" s="34"/>
    </row>
    <row r="116" spans="1:4" ht="20.399999999999999" x14ac:dyDescent="0.3">
      <c r="A116" s="100"/>
      <c r="B116" s="23"/>
      <c r="C116" s="34"/>
      <c r="D116" s="34"/>
    </row>
    <row r="117" spans="1:4" ht="20.399999999999999" x14ac:dyDescent="0.3">
      <c r="A117" s="100"/>
      <c r="B117" s="23"/>
      <c r="C117" s="34"/>
      <c r="D117" s="34"/>
    </row>
    <row r="118" spans="1:4" ht="20.399999999999999" x14ac:dyDescent="0.3">
      <c r="A118" s="100"/>
      <c r="B118" s="23"/>
      <c r="C118" s="34"/>
      <c r="D118" s="34"/>
    </row>
    <row r="119" spans="1:4" ht="20.399999999999999" x14ac:dyDescent="0.3">
      <c r="A119" s="100"/>
      <c r="B119" s="23"/>
      <c r="C119" s="34"/>
      <c r="D119" s="34"/>
    </row>
    <row r="120" spans="1:4" ht="20.399999999999999" x14ac:dyDescent="0.3">
      <c r="A120" s="100"/>
      <c r="B120" s="23"/>
      <c r="C120" s="34"/>
      <c r="D120" s="34"/>
    </row>
    <row r="121" spans="1:4" ht="20.399999999999999" x14ac:dyDescent="0.3">
      <c r="A121" s="100"/>
      <c r="B121" s="23"/>
      <c r="C121" s="34"/>
      <c r="D121" s="34"/>
    </row>
    <row r="122" spans="1:4" ht="20.399999999999999" x14ac:dyDescent="0.3">
      <c r="A122" s="100"/>
      <c r="B122" s="23"/>
      <c r="C122" s="34"/>
      <c r="D122" s="34"/>
    </row>
    <row r="123" spans="1:4" ht="20.399999999999999" x14ac:dyDescent="0.3">
      <c r="A123" s="100"/>
      <c r="B123" s="23"/>
      <c r="C123" s="34"/>
      <c r="D123" s="34"/>
    </row>
    <row r="124" spans="1:4" ht="20.399999999999999" x14ac:dyDescent="0.3">
      <c r="A124" s="100"/>
      <c r="B124" s="23"/>
      <c r="C124" s="34"/>
      <c r="D124" s="34"/>
    </row>
    <row r="125" spans="1:4" ht="20.399999999999999" x14ac:dyDescent="0.3">
      <c r="A125" s="100"/>
      <c r="B125" s="23"/>
      <c r="C125" s="34"/>
      <c r="D125" s="34"/>
    </row>
    <row r="126" spans="1:4" ht="20.399999999999999" x14ac:dyDescent="0.3">
      <c r="A126" s="100"/>
      <c r="B126" s="23"/>
      <c r="C126" s="34"/>
      <c r="D126" s="34"/>
    </row>
    <row r="127" spans="1:4" ht="20.399999999999999" x14ac:dyDescent="0.3">
      <c r="A127" s="100"/>
      <c r="B127" s="23"/>
      <c r="C127" s="34"/>
      <c r="D127" s="34"/>
    </row>
    <row r="128" spans="1:4" ht="20.399999999999999" x14ac:dyDescent="0.3">
      <c r="A128" s="100"/>
      <c r="B128" s="23"/>
      <c r="C128" s="34"/>
      <c r="D128" s="34"/>
    </row>
    <row r="129" spans="1:4" ht="20.399999999999999" x14ac:dyDescent="0.3">
      <c r="A129" s="100"/>
      <c r="B129" s="23"/>
      <c r="C129" s="34"/>
      <c r="D129" s="34"/>
    </row>
    <row r="130" spans="1:4" ht="20.399999999999999" x14ac:dyDescent="0.3">
      <c r="A130" s="100"/>
      <c r="B130" s="23"/>
      <c r="C130" s="34"/>
      <c r="D130" s="34"/>
    </row>
    <row r="131" spans="1:4" ht="20.399999999999999" x14ac:dyDescent="0.3">
      <c r="A131" s="100"/>
      <c r="B131" s="23"/>
      <c r="C131" s="34"/>
      <c r="D131" s="34"/>
    </row>
    <row r="132" spans="1:4" ht="20.399999999999999" x14ac:dyDescent="0.3">
      <c r="A132" s="100"/>
      <c r="B132" s="23"/>
      <c r="C132" s="34"/>
      <c r="D132" s="34"/>
    </row>
    <row r="133" spans="1:4" ht="20.399999999999999" x14ac:dyDescent="0.3">
      <c r="A133" s="100"/>
      <c r="B133" s="23"/>
      <c r="C133" s="34"/>
      <c r="D133" s="34"/>
    </row>
    <row r="134" spans="1:4" ht="20.399999999999999" x14ac:dyDescent="0.3">
      <c r="A134" s="100"/>
      <c r="B134" s="23"/>
      <c r="C134" s="34"/>
      <c r="D134" s="34"/>
    </row>
    <row r="135" spans="1:4" ht="20.399999999999999" x14ac:dyDescent="0.3">
      <c r="A135" s="100"/>
      <c r="B135" s="23"/>
      <c r="C135" s="34"/>
      <c r="D135" s="34"/>
    </row>
    <row r="136" spans="1:4" ht="20.399999999999999" x14ac:dyDescent="0.3">
      <c r="A136" s="100"/>
      <c r="B136" s="23"/>
      <c r="C136" s="34"/>
      <c r="D136" s="34"/>
    </row>
    <row r="137" spans="1:4" ht="20.399999999999999" x14ac:dyDescent="0.3">
      <c r="A137" s="100"/>
      <c r="B137" s="23"/>
      <c r="C137" s="34"/>
      <c r="D137" s="34"/>
    </row>
    <row r="138" spans="1:4" ht="20.399999999999999" x14ac:dyDescent="0.3">
      <c r="A138" s="100"/>
      <c r="B138" s="23"/>
      <c r="C138" s="34"/>
      <c r="D138" s="34"/>
    </row>
    <row r="139" spans="1:4" ht="20.399999999999999" x14ac:dyDescent="0.3">
      <c r="A139" s="100"/>
      <c r="B139" s="23"/>
      <c r="C139" s="34"/>
      <c r="D139" s="34"/>
    </row>
    <row r="140" spans="1:4" ht="20.399999999999999" x14ac:dyDescent="0.3">
      <c r="A140" s="100"/>
      <c r="B140" s="23"/>
      <c r="C140" s="34"/>
      <c r="D140" s="34"/>
    </row>
    <row r="141" spans="1:4" ht="20.399999999999999" x14ac:dyDescent="0.3">
      <c r="A141" s="100"/>
      <c r="B141" s="23"/>
      <c r="C141" s="34"/>
      <c r="D141" s="34"/>
    </row>
    <row r="142" spans="1:4" ht="20.399999999999999" x14ac:dyDescent="0.3">
      <c r="A142" s="100"/>
      <c r="B142" s="23"/>
      <c r="C142" s="34"/>
      <c r="D142" s="34"/>
    </row>
    <row r="143" spans="1:4" ht="20.399999999999999" x14ac:dyDescent="0.3">
      <c r="A143" s="100"/>
      <c r="B143" s="23"/>
      <c r="C143" s="34"/>
      <c r="D143" s="34"/>
    </row>
    <row r="144" spans="1:4" ht="20.399999999999999" x14ac:dyDescent="0.3">
      <c r="A144" s="100"/>
      <c r="B144" s="23"/>
      <c r="C144" s="34"/>
      <c r="D144" s="34"/>
    </row>
    <row r="145" spans="1:4" ht="20.399999999999999" x14ac:dyDescent="0.3">
      <c r="A145" s="100"/>
      <c r="B145" s="23"/>
      <c r="C145" s="34"/>
      <c r="D145" s="34"/>
    </row>
    <row r="146" spans="1:4" ht="20.399999999999999" x14ac:dyDescent="0.3">
      <c r="A146" s="100"/>
      <c r="B146" s="23"/>
      <c r="C146" s="34"/>
      <c r="D146" s="34"/>
    </row>
    <row r="147" spans="1:4" ht="20.399999999999999" x14ac:dyDescent="0.3">
      <c r="A147" s="100"/>
      <c r="B147" s="23"/>
      <c r="C147" s="34"/>
      <c r="D147" s="34"/>
    </row>
    <row r="148" spans="1:4" ht="20.399999999999999" x14ac:dyDescent="0.3">
      <c r="A148" s="100"/>
      <c r="B148" s="23"/>
      <c r="C148" s="34"/>
      <c r="D148" s="34"/>
    </row>
    <row r="149" spans="1:4" ht="20.399999999999999" x14ac:dyDescent="0.3">
      <c r="A149" s="100"/>
      <c r="B149" s="23"/>
      <c r="C149" s="34"/>
      <c r="D149" s="34"/>
    </row>
    <row r="150" spans="1:4" ht="20.399999999999999" x14ac:dyDescent="0.3">
      <c r="A150" s="100"/>
      <c r="B150" s="23"/>
      <c r="C150" s="34"/>
      <c r="D150" s="34"/>
    </row>
    <row r="151" spans="1:4" ht="20.399999999999999" x14ac:dyDescent="0.3">
      <c r="A151" s="100"/>
      <c r="B151" s="23"/>
      <c r="C151" s="34"/>
      <c r="D151" s="34"/>
    </row>
    <row r="152" spans="1:4" ht="20.399999999999999" x14ac:dyDescent="0.3">
      <c r="A152" s="100"/>
      <c r="B152" s="23"/>
      <c r="C152" s="34"/>
      <c r="D152" s="34"/>
    </row>
    <row r="153" spans="1:4" ht="20.399999999999999" x14ac:dyDescent="0.3">
      <c r="A153" s="100"/>
      <c r="B153" s="23"/>
      <c r="C153" s="34"/>
      <c r="D153" s="34"/>
    </row>
    <row r="154" spans="1:4" ht="20.399999999999999" x14ac:dyDescent="0.3">
      <c r="A154" s="100"/>
      <c r="B154" s="23"/>
      <c r="C154" s="34"/>
      <c r="D154" s="34"/>
    </row>
    <row r="155" spans="1:4" ht="20.399999999999999" x14ac:dyDescent="0.3">
      <c r="A155" s="100"/>
      <c r="B155" s="23"/>
      <c r="C155" s="34"/>
      <c r="D155" s="34"/>
    </row>
    <row r="156" spans="1:4" ht="20.399999999999999" x14ac:dyDescent="0.3">
      <c r="A156" s="100"/>
      <c r="B156" s="23"/>
      <c r="C156" s="34"/>
      <c r="D156" s="34"/>
    </row>
    <row r="157" spans="1:4" ht="20.399999999999999" x14ac:dyDescent="0.3">
      <c r="A157" s="100"/>
      <c r="B157" s="23"/>
      <c r="C157" s="34"/>
      <c r="D157" s="34"/>
    </row>
    <row r="158" spans="1:4" ht="20.399999999999999" x14ac:dyDescent="0.3">
      <c r="A158" s="100"/>
      <c r="B158" s="23"/>
      <c r="C158" s="34"/>
      <c r="D158" s="34"/>
    </row>
    <row r="159" spans="1:4" ht="20.399999999999999" x14ac:dyDescent="0.3">
      <c r="A159" s="100"/>
      <c r="B159" s="23"/>
      <c r="C159" s="34"/>
      <c r="D159" s="34"/>
    </row>
    <row r="160" spans="1:4" ht="20.399999999999999" x14ac:dyDescent="0.3">
      <c r="A160" s="100"/>
      <c r="B160" s="23"/>
      <c r="C160" s="34"/>
      <c r="D160" s="34"/>
    </row>
    <row r="161" spans="1:4" ht="20.399999999999999" x14ac:dyDescent="0.3">
      <c r="A161" s="100"/>
      <c r="B161" s="23"/>
      <c r="C161" s="34"/>
      <c r="D161" s="34"/>
    </row>
    <row r="162" spans="1:4" ht="20.399999999999999" x14ac:dyDescent="0.3">
      <c r="A162" s="100"/>
      <c r="B162" s="23"/>
      <c r="C162" s="34"/>
      <c r="D162" s="34"/>
    </row>
    <row r="163" spans="1:4" ht="20.399999999999999" x14ac:dyDescent="0.3">
      <c r="A163" s="100"/>
      <c r="B163" s="23"/>
      <c r="C163" s="34"/>
      <c r="D163" s="34"/>
    </row>
    <row r="164" spans="1:4" ht="20.399999999999999" x14ac:dyDescent="0.3">
      <c r="A164" s="100"/>
      <c r="B164" s="23"/>
      <c r="C164" s="34"/>
      <c r="D164" s="34"/>
    </row>
    <row r="165" spans="1:4" ht="20.399999999999999" x14ac:dyDescent="0.3">
      <c r="A165" s="100"/>
      <c r="B165" s="23"/>
      <c r="C165" s="34"/>
      <c r="D165" s="34"/>
    </row>
    <row r="166" spans="1:4" ht="20.399999999999999" x14ac:dyDescent="0.3">
      <c r="A166" s="100"/>
      <c r="B166" s="23"/>
      <c r="C166" s="34"/>
      <c r="D166" s="34"/>
    </row>
    <row r="167" spans="1:4" ht="20.399999999999999" x14ac:dyDescent="0.3">
      <c r="A167" s="100"/>
      <c r="B167" s="23"/>
      <c r="C167" s="34"/>
      <c r="D167" s="34"/>
    </row>
    <row r="168" spans="1:4" ht="20.399999999999999" x14ac:dyDescent="0.3">
      <c r="A168" s="100"/>
      <c r="B168" s="23"/>
      <c r="C168" s="34"/>
      <c r="D168" s="34"/>
    </row>
    <row r="169" spans="1:4" ht="20.399999999999999" x14ac:dyDescent="0.3">
      <c r="A169" s="100"/>
      <c r="B169" s="23"/>
      <c r="C169" s="34"/>
      <c r="D169" s="34"/>
    </row>
    <row r="170" spans="1:4" ht="20.399999999999999" x14ac:dyDescent="0.3">
      <c r="A170" s="100"/>
      <c r="B170" s="23"/>
      <c r="C170" s="34"/>
      <c r="D170" s="34"/>
    </row>
    <row r="171" spans="1:4" ht="20.399999999999999" x14ac:dyDescent="0.3">
      <c r="A171" s="100"/>
      <c r="B171" s="23"/>
      <c r="C171" s="34"/>
      <c r="D171" s="34"/>
    </row>
    <row r="172" spans="1:4" ht="20.399999999999999" x14ac:dyDescent="0.3">
      <c r="A172" s="100"/>
      <c r="B172" s="23"/>
      <c r="C172" s="34"/>
      <c r="D172" s="34"/>
    </row>
    <row r="173" spans="1:4" ht="20.399999999999999" x14ac:dyDescent="0.3">
      <c r="A173" s="100"/>
      <c r="B173" s="23"/>
      <c r="C173" s="34"/>
      <c r="D173" s="34"/>
    </row>
    <row r="174" spans="1:4" ht="20.399999999999999" x14ac:dyDescent="0.3">
      <c r="A174" s="100"/>
      <c r="B174" s="23"/>
      <c r="C174" s="34"/>
      <c r="D174" s="34"/>
    </row>
    <row r="175" spans="1:4" ht="20.399999999999999" x14ac:dyDescent="0.3">
      <c r="A175" s="100"/>
      <c r="B175" s="23"/>
      <c r="C175" s="34"/>
      <c r="D175" s="34"/>
    </row>
    <row r="176" spans="1:4" ht="20.399999999999999" x14ac:dyDescent="0.3">
      <c r="A176" s="100"/>
      <c r="B176" s="23"/>
      <c r="C176" s="34"/>
      <c r="D176" s="34"/>
    </row>
    <row r="177" spans="1:4" ht="20.399999999999999" x14ac:dyDescent="0.3">
      <c r="A177" s="100"/>
      <c r="B177" s="23"/>
      <c r="C177" s="34"/>
      <c r="D177" s="34"/>
    </row>
    <row r="178" spans="1:4" ht="20.399999999999999" x14ac:dyDescent="0.3">
      <c r="A178" s="100"/>
      <c r="B178" s="23"/>
      <c r="C178" s="34"/>
      <c r="D178" s="34"/>
    </row>
    <row r="179" spans="1:4" ht="20.399999999999999" x14ac:dyDescent="0.3">
      <c r="A179" s="100"/>
      <c r="B179" s="23"/>
      <c r="C179" s="34"/>
      <c r="D179" s="34"/>
    </row>
    <row r="180" spans="1:4" ht="20.399999999999999" x14ac:dyDescent="0.3">
      <c r="A180" s="100"/>
      <c r="B180" s="23"/>
      <c r="C180" s="34"/>
      <c r="D180" s="34"/>
    </row>
    <row r="181" spans="1:4" ht="20.399999999999999" x14ac:dyDescent="0.3">
      <c r="A181" s="100"/>
      <c r="B181" s="23"/>
      <c r="C181" s="34"/>
      <c r="D181" s="34"/>
    </row>
    <row r="182" spans="1:4" ht="20.399999999999999" x14ac:dyDescent="0.3">
      <c r="A182" s="100"/>
      <c r="B182" s="23"/>
      <c r="C182" s="34"/>
      <c r="D182" s="34"/>
    </row>
    <row r="183" spans="1:4" ht="20.399999999999999" x14ac:dyDescent="0.3">
      <c r="A183" s="100"/>
      <c r="B183" s="23"/>
      <c r="C183" s="34"/>
      <c r="D183" s="34"/>
    </row>
    <row r="184" spans="1:4" ht="20.399999999999999" x14ac:dyDescent="0.3">
      <c r="A184" s="100"/>
      <c r="B184" s="23"/>
      <c r="C184" s="34"/>
      <c r="D184" s="34"/>
    </row>
    <row r="185" spans="1:4" ht="20.399999999999999" x14ac:dyDescent="0.3">
      <c r="A185" s="100"/>
      <c r="B185" s="23"/>
      <c r="C185" s="34"/>
      <c r="D185" s="34"/>
    </row>
    <row r="186" spans="1:4" ht="20.399999999999999" x14ac:dyDescent="0.3">
      <c r="A186" s="100"/>
      <c r="B186" s="23"/>
      <c r="C186" s="34"/>
      <c r="D186" s="34"/>
    </row>
    <row r="187" spans="1:4" ht="20.399999999999999" x14ac:dyDescent="0.3">
      <c r="A187" s="100"/>
      <c r="B187" s="23"/>
      <c r="C187" s="34"/>
      <c r="D187" s="34"/>
    </row>
    <row r="188" spans="1:4" ht="20.399999999999999" x14ac:dyDescent="0.3">
      <c r="A188" s="100"/>
      <c r="B188" s="23"/>
      <c r="C188" s="34"/>
      <c r="D188" s="34"/>
    </row>
    <row r="189" spans="1:4" ht="20.399999999999999" x14ac:dyDescent="0.3">
      <c r="A189" s="100"/>
      <c r="B189" s="23"/>
      <c r="C189" s="34"/>
      <c r="D189" s="34"/>
    </row>
    <row r="190" spans="1:4" ht="20.399999999999999" x14ac:dyDescent="0.3">
      <c r="A190" s="100"/>
      <c r="B190" s="23"/>
      <c r="C190" s="34"/>
      <c r="D190" s="34"/>
    </row>
    <row r="191" spans="1:4" ht="20.399999999999999" x14ac:dyDescent="0.3">
      <c r="A191" s="100"/>
      <c r="B191" s="23"/>
      <c r="C191" s="34"/>
      <c r="D191" s="34"/>
    </row>
    <row r="192" spans="1:4" ht="20.399999999999999" x14ac:dyDescent="0.3">
      <c r="A192" s="100"/>
      <c r="B192" s="23"/>
      <c r="C192" s="34"/>
      <c r="D192" s="34"/>
    </row>
    <row r="193" spans="1:4" ht="20.399999999999999" x14ac:dyDescent="0.3">
      <c r="A193" s="100"/>
      <c r="B193" s="23"/>
      <c r="C193" s="34"/>
      <c r="D193" s="34"/>
    </row>
    <row r="194" spans="1:4" ht="20.399999999999999" x14ac:dyDescent="0.3">
      <c r="A194" s="100"/>
      <c r="B194" s="23"/>
      <c r="C194" s="34"/>
      <c r="D194" s="34"/>
    </row>
    <row r="195" spans="1:4" ht="20.399999999999999" x14ac:dyDescent="0.3">
      <c r="A195" s="100"/>
      <c r="B195" s="23"/>
      <c r="C195" s="34"/>
      <c r="D195" s="34"/>
    </row>
    <row r="196" spans="1:4" ht="20.399999999999999" x14ac:dyDescent="0.3">
      <c r="A196" s="100"/>
      <c r="B196" s="23"/>
      <c r="C196" s="34"/>
      <c r="D196" s="34"/>
    </row>
    <row r="197" spans="1:4" ht="20.399999999999999" x14ac:dyDescent="0.3">
      <c r="A197" s="100"/>
      <c r="B197" s="23"/>
      <c r="C197" s="34"/>
      <c r="D197" s="34"/>
    </row>
    <row r="198" spans="1:4" ht="20.399999999999999" x14ac:dyDescent="0.3">
      <c r="A198" s="100"/>
      <c r="B198" s="23"/>
      <c r="C198" s="34"/>
      <c r="D198" s="34"/>
    </row>
    <row r="199" spans="1:4" ht="20.399999999999999" x14ac:dyDescent="0.3">
      <c r="A199" s="100"/>
      <c r="B199" s="23"/>
      <c r="C199" s="34"/>
      <c r="D199" s="34"/>
    </row>
    <row r="200" spans="1:4" ht="20.399999999999999" x14ac:dyDescent="0.3">
      <c r="A200" s="100"/>
      <c r="B200" s="23"/>
      <c r="C200" s="34"/>
      <c r="D200" s="34"/>
    </row>
    <row r="201" spans="1:4" ht="20.399999999999999" x14ac:dyDescent="0.3">
      <c r="A201" s="100"/>
      <c r="B201" s="23"/>
      <c r="C201" s="34"/>
      <c r="D201" s="34"/>
    </row>
    <row r="202" spans="1:4" ht="20.399999999999999" x14ac:dyDescent="0.3">
      <c r="A202" s="100"/>
      <c r="B202" s="23"/>
      <c r="C202" s="34"/>
      <c r="D202" s="34"/>
    </row>
    <row r="203" spans="1:4" ht="20.399999999999999" x14ac:dyDescent="0.3">
      <c r="A203" s="100"/>
      <c r="B203" s="23"/>
      <c r="C203" s="34"/>
      <c r="D203" s="34"/>
    </row>
    <row r="204" spans="1:4" ht="20.399999999999999" x14ac:dyDescent="0.3">
      <c r="A204" s="100"/>
      <c r="B204" s="23"/>
      <c r="C204" s="34"/>
      <c r="D204" s="34"/>
    </row>
    <row r="205" spans="1:4" ht="20.399999999999999" x14ac:dyDescent="0.3">
      <c r="A205" s="100"/>
      <c r="B205" s="23"/>
      <c r="C205" s="34"/>
      <c r="D205" s="34"/>
    </row>
    <row r="206" spans="1:4" ht="20.399999999999999" x14ac:dyDescent="0.3">
      <c r="A206" s="100"/>
      <c r="B206" s="23"/>
      <c r="C206" s="34"/>
      <c r="D206" s="34"/>
    </row>
    <row r="207" spans="1:4" ht="20.399999999999999" x14ac:dyDescent="0.3">
      <c r="A207" s="100"/>
      <c r="B207" s="23"/>
      <c r="C207" s="34"/>
      <c r="D207" s="34"/>
    </row>
    <row r="208" spans="1:4" x14ac:dyDescent="0.3">
      <c r="A208" s="83"/>
      <c r="B208" s="23"/>
      <c r="C208" s="23"/>
      <c r="D208" s="23"/>
    </row>
    <row r="209" spans="1:8" ht="20.399999999999999" x14ac:dyDescent="0.3">
      <c r="A209" s="83"/>
      <c r="B209" s="30" t="s">
        <v>374</v>
      </c>
      <c r="C209" s="30" t="s">
        <v>375</v>
      </c>
      <c r="D209" s="33" t="s">
        <v>374</v>
      </c>
      <c r="E209" s="33" t="s">
        <v>375</v>
      </c>
    </row>
    <row r="210" spans="1:8" ht="21" x14ac:dyDescent="0.4">
      <c r="A210" s="83"/>
      <c r="B210" s="31" t="s">
        <v>376</v>
      </c>
      <c r="C210" s="31" t="s">
        <v>377</v>
      </c>
      <c r="D210" t="s">
        <v>376</v>
      </c>
      <c r="F210" t="str">
        <f>IF(NOT(ISBLANK(D210)),D210,IF(NOT(ISBLANK(E210)),"     "&amp;E210,FALSE))</f>
        <v>Afectación Económica o presupuestal</v>
      </c>
      <c r="G210" t="s">
        <v>376</v>
      </c>
      <c r="H210" t="str">
        <f>IF(NOT(ISERROR(MATCH(G210,_xlfn.ANCHORARRAY(B221),0))),F223&amp;"Por favor no seleccionar los criterios de impacto",G210)</f>
        <v>❌Por favor no seleccionar los criterios de impacto</v>
      </c>
    </row>
    <row r="211" spans="1:8" ht="21" x14ac:dyDescent="0.4">
      <c r="A211" s="83"/>
      <c r="B211" s="31" t="s">
        <v>376</v>
      </c>
      <c r="C211" s="31" t="s">
        <v>349</v>
      </c>
      <c r="E211" t="s">
        <v>377</v>
      </c>
      <c r="F211" t="str">
        <f t="shared" ref="F211:F221" si="0">IF(NOT(ISBLANK(D211)),D211,IF(NOT(ISBLANK(E211)),"     "&amp;E211,FALSE))</f>
        <v xml:space="preserve">     Afectación menor a 10 SMLMV .</v>
      </c>
    </row>
    <row r="212" spans="1:8" ht="21" x14ac:dyDescent="0.4">
      <c r="A212" s="83"/>
      <c r="B212" s="31" t="s">
        <v>376</v>
      </c>
      <c r="C212" s="31" t="s">
        <v>352</v>
      </c>
      <c r="E212" t="s">
        <v>349</v>
      </c>
      <c r="F212" t="str">
        <f t="shared" si="0"/>
        <v xml:space="preserve">     Entre 10 y 50 SMLMV </v>
      </c>
    </row>
    <row r="213" spans="1:8" ht="21" x14ac:dyDescent="0.4">
      <c r="A213" s="83"/>
      <c r="B213" s="31" t="s">
        <v>376</v>
      </c>
      <c r="C213" s="31" t="s">
        <v>356</v>
      </c>
      <c r="E213" t="s">
        <v>352</v>
      </c>
      <c r="F213" t="str">
        <f t="shared" si="0"/>
        <v xml:space="preserve">     Entre 50 y 100 SMLMV </v>
      </c>
    </row>
    <row r="214" spans="1:8" ht="21" x14ac:dyDescent="0.4">
      <c r="A214" s="83"/>
      <c r="B214" s="31" t="s">
        <v>376</v>
      </c>
      <c r="C214" s="31" t="s">
        <v>360</v>
      </c>
      <c r="E214" t="s">
        <v>356</v>
      </c>
      <c r="F214" t="str">
        <f t="shared" si="0"/>
        <v xml:space="preserve">     Entre 100 y 500 SMLMV </v>
      </c>
    </row>
    <row r="215" spans="1:8" ht="21" x14ac:dyDescent="0.4">
      <c r="A215" s="83"/>
      <c r="B215" s="31" t="s">
        <v>342</v>
      </c>
      <c r="C215" s="31" t="s">
        <v>346</v>
      </c>
      <c r="E215" t="s">
        <v>360</v>
      </c>
      <c r="F215" t="str">
        <f t="shared" si="0"/>
        <v xml:space="preserve">     Mayor a 500 SMLMV </v>
      </c>
    </row>
    <row r="216" spans="1:8" ht="21" x14ac:dyDescent="0.4">
      <c r="A216" s="83"/>
      <c r="B216" s="31" t="s">
        <v>342</v>
      </c>
      <c r="C216" s="31" t="s">
        <v>350</v>
      </c>
      <c r="D216" t="s">
        <v>342</v>
      </c>
      <c r="F216" t="str">
        <f t="shared" si="0"/>
        <v>Pérdida Reputacional</v>
      </c>
    </row>
    <row r="217" spans="1:8" ht="21" x14ac:dyDescent="0.4">
      <c r="A217" s="83"/>
      <c r="B217" s="31" t="s">
        <v>342</v>
      </c>
      <c r="C217" s="31" t="s">
        <v>353</v>
      </c>
      <c r="E217" t="s">
        <v>346</v>
      </c>
      <c r="F217" t="str">
        <f t="shared" si="0"/>
        <v xml:space="preserve">     El riesgo afecta la imagen de alguna área de la organización</v>
      </c>
    </row>
    <row r="218" spans="1:8" ht="21" x14ac:dyDescent="0.4">
      <c r="A218" s="83"/>
      <c r="B218" s="31" t="s">
        <v>342</v>
      </c>
      <c r="C218" s="31" t="s">
        <v>357</v>
      </c>
      <c r="E218" t="s">
        <v>350</v>
      </c>
      <c r="F218" t="str">
        <f t="shared" si="0"/>
        <v xml:space="preserve">     El riesgo afecta la imagen de la entidad internamente, de conocimiento general, nivel interno, de junta dircetiva y accionistas y/o de provedores</v>
      </c>
    </row>
    <row r="219" spans="1:8" ht="21" x14ac:dyDescent="0.4">
      <c r="A219" s="83"/>
      <c r="B219" s="31" t="s">
        <v>342</v>
      </c>
      <c r="C219" s="31" t="s">
        <v>361</v>
      </c>
      <c r="E219" t="s">
        <v>353</v>
      </c>
      <c r="F219" t="str">
        <f t="shared" si="0"/>
        <v xml:space="preserve">     El riesgo afecta la imagen de la entidad con algunos usuarios de relevancia frente al logro de los objetivos</v>
      </c>
    </row>
    <row r="220" spans="1:8" x14ac:dyDescent="0.3">
      <c r="A220" s="83"/>
      <c r="B220" s="32"/>
      <c r="C220" s="32"/>
      <c r="E220" t="s">
        <v>357</v>
      </c>
      <c r="F220" t="str">
        <f t="shared" si="0"/>
        <v xml:space="preserve">     El riesgo afecta la imagen de de la entidad con efecto publicitario sostenido a nivel de sector administrativo, nivel departamental o municipal</v>
      </c>
    </row>
    <row r="221" spans="1:8" x14ac:dyDescent="0.3">
      <c r="A221" s="83"/>
      <c r="B221" s="32" t="str" cm="1">
        <f t="array" ref="B221:B223">_xlfn.UNIQUE(Tabla1[[#All],[Criterios]])</f>
        <v>Criterios</v>
      </c>
      <c r="C221" s="32"/>
      <c r="E221" t="s">
        <v>361</v>
      </c>
      <c r="F221" t="str">
        <f t="shared" si="0"/>
        <v xml:space="preserve">     El riesgo afecta la imagen de la entidad a nivel nacional, con efecto publicitarios sostenible a nivel país</v>
      </c>
    </row>
    <row r="222" spans="1:8" x14ac:dyDescent="0.3">
      <c r="A222" s="83"/>
      <c r="B222" s="32" t="str">
        <v>Afectación Económica o presupuestal</v>
      </c>
      <c r="C222" s="32"/>
    </row>
    <row r="223" spans="1:8" x14ac:dyDescent="0.3">
      <c r="B223" s="32" t="str">
        <v>Pérdida Reputacional</v>
      </c>
      <c r="C223" s="32"/>
      <c r="F223" s="35" t="s">
        <v>378</v>
      </c>
    </row>
    <row r="224" spans="1:8" x14ac:dyDescent="0.3">
      <c r="B224" s="22"/>
      <c r="C224" s="22"/>
      <c r="F224" s="35" t="s">
        <v>379</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800-000000000000}">
      <formula1>$F$210:$F$221</formula1>
    </dataValidation>
  </dataValidation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18A0A70CA03548872ABA25B530A383" ma:contentTypeVersion="16" ma:contentTypeDescription="Create a new document." ma:contentTypeScope="" ma:versionID="9f37a7fe8821774f396f5b61494fe1d6">
  <xsd:schema xmlns:xsd="http://www.w3.org/2001/XMLSchema" xmlns:xs="http://www.w3.org/2001/XMLSchema" xmlns:p="http://schemas.microsoft.com/office/2006/metadata/properties" xmlns:ns3="c37902df-88a7-4ac7-a843-bf2589e72892" xmlns:ns4="ecc9473a-b0af-41bc-87a1-536575c209d1" targetNamespace="http://schemas.microsoft.com/office/2006/metadata/properties" ma:root="true" ma:fieldsID="27da75e4b43649c04263f0a660beb28e" ns3:_="" ns4:_="">
    <xsd:import namespace="c37902df-88a7-4ac7-a843-bf2589e72892"/>
    <xsd:import namespace="ecc9473a-b0af-41bc-87a1-536575c209d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DateTaken" minOccurs="0"/>
                <xsd:element ref="ns4:MediaLengthInSeconds" minOccurs="0"/>
                <xsd:element ref="ns4:MediaServiceObjectDetectorVersions" minOccurs="0"/>
                <xsd:element ref="ns4:MediaServiceSearchProperties" minOccurs="0"/>
                <xsd:element ref="ns4:MediaServiceSystemTag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902df-88a7-4ac7-a843-bf2589e728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c9473a-b0af-41bc-87a1-536575c209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cc9473a-b0af-41bc-87a1-536575c209d1" xsi:nil="true"/>
  </documentManagement>
</p:properties>
</file>

<file path=customXml/itemProps1.xml><?xml version="1.0" encoding="utf-8"?>
<ds:datastoreItem xmlns:ds="http://schemas.openxmlformats.org/officeDocument/2006/customXml" ds:itemID="{F31B4E75-49CC-418E-8D41-585D7E27C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902df-88a7-4ac7-a843-bf2589e72892"/>
    <ds:schemaRef ds:uri="ecc9473a-b0af-41bc-87a1-536575c209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8C5904-9B0E-41C6-945B-D469632EE752}">
  <ds:schemaRefs>
    <ds:schemaRef ds:uri="http://schemas.microsoft.com/sharepoint/v3/contenttype/forms"/>
  </ds:schemaRefs>
</ds:datastoreItem>
</file>

<file path=customXml/itemProps3.xml><?xml version="1.0" encoding="utf-8"?>
<ds:datastoreItem xmlns:ds="http://schemas.openxmlformats.org/officeDocument/2006/customXml" ds:itemID="{E7C08FAF-E319-4D96-818F-9F11E82C0AC8}">
  <ds:schemaRefs>
    <ds:schemaRef ds:uri="http://schemas.microsoft.com/office/2006/metadata/properties"/>
    <ds:schemaRef ds:uri="http://schemas.microsoft.com/office/infopath/2007/PartnerControls"/>
    <ds:schemaRef ds:uri="ecc9473a-b0af-41bc-87a1-536575c209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Orientaciones Generales</vt:lpstr>
      <vt:lpstr>Matriz Dofa</vt:lpstr>
      <vt:lpstr>Matriz multicriterio</vt:lpstr>
      <vt:lpstr>Riesgos gestion</vt:lpstr>
      <vt:lpstr>Riesgos de Corrupción </vt:lpstr>
      <vt:lpstr>Matriz Calor Inherente</vt:lpstr>
      <vt:lpstr>Matriz Calor Residual</vt:lpstr>
      <vt:lpstr>Tabla probabilidad</vt:lpstr>
      <vt:lpstr>Tabla Impacto</vt:lpstr>
      <vt:lpstr>Tabla Valoración controles</vt:lpstr>
      <vt:lpstr>Formulas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OS</cp:lastModifiedBy>
  <cp:revision/>
  <dcterms:created xsi:type="dcterms:W3CDTF">2020-03-24T23:12:47Z</dcterms:created>
  <dcterms:modified xsi:type="dcterms:W3CDTF">2025-07-10T22:14:46Z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0x010100B818A0A70CA03548872ABA25B530A383</vt:lpwstr>
  </property>
</Properties>
</file>